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3.xml" ContentType="application/vnd.openxmlformats-officedocument.spreadsheetml.tab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Life Cycle Cost Task - UI\Excel Sheets\"/>
    </mc:Choice>
  </mc:AlternateContent>
  <bookViews>
    <workbookView xWindow="0" yWindow="0" windowWidth="21570" windowHeight="9405"/>
  </bookViews>
  <sheets>
    <sheet name="General" sheetId="4" r:id="rId1"/>
    <sheet name="PID &amp; Cash Flow" sheetId="1" r:id="rId2"/>
    <sheet name="SIR Ratio" sheetId="2" r:id="rId3"/>
    <sheet name="Discount Payback Period" sheetId="3" r:id="rId4"/>
    <sheet name="Summary" sheetId="5"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0" i="3" l="1"/>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49" i="3"/>
  <c r="C10" i="3"/>
  <c r="D7" i="3"/>
  <c r="C7" i="3"/>
  <c r="C101" i="2"/>
  <c r="D101" i="2"/>
  <c r="G70" i="2"/>
  <c r="D70" i="2"/>
  <c r="B70" i="2"/>
  <c r="I51" i="1" l="1"/>
  <c r="AD52" i="1" s="1"/>
  <c r="AD55" i="1"/>
  <c r="AD63" i="1"/>
  <c r="AD50" i="1"/>
  <c r="AD59" i="1" l="1"/>
  <c r="AD66" i="1"/>
  <c r="AD62" i="1"/>
  <c r="AD58" i="1"/>
  <c r="AD54" i="1"/>
  <c r="AD65" i="1"/>
  <c r="AD61" i="1"/>
  <c r="AD57" i="1"/>
  <c r="AD53" i="1"/>
  <c r="AD64" i="1"/>
  <c r="AD60" i="1"/>
  <c r="AD56" i="1"/>
  <c r="AD51" i="1"/>
  <c r="A20" i="5"/>
  <c r="G68" i="4" l="1"/>
  <c r="K36" i="4" s="1"/>
  <c r="D50" i="3" l="1"/>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49" i="3"/>
  <c r="AB52" i="4" l="1"/>
  <c r="J18" i="4" l="1"/>
  <c r="J6" i="4" l="1"/>
  <c r="K11" i="4" s="1"/>
  <c r="B68" i="4" s="1"/>
  <c r="K25" i="4" s="1"/>
  <c r="D53" i="2" l="1"/>
  <c r="D52" i="2"/>
  <c r="D71" i="2"/>
  <c r="D69" i="2"/>
  <c r="D68" i="2"/>
  <c r="D8" i="2" l="1"/>
  <c r="D7" i="2"/>
  <c r="D24" i="2"/>
  <c r="D25" i="2"/>
  <c r="D26" i="2"/>
  <c r="D23" i="2"/>
  <c r="E15" i="3" l="1"/>
  <c r="E14" i="3"/>
  <c r="E13" i="3"/>
  <c r="E12" i="3"/>
  <c r="E11" i="3"/>
  <c r="I6" i="1"/>
  <c r="I50" i="1" l="1"/>
  <c r="I49" i="1"/>
  <c r="I48" i="1"/>
  <c r="D6" i="3" l="1"/>
  <c r="C6" i="3"/>
  <c r="D10" i="3"/>
  <c r="B42" i="1"/>
  <c r="E10" i="3" l="1"/>
  <c r="E6" i="3"/>
  <c r="A49" i="3"/>
  <c r="G52" i="3" l="1"/>
  <c r="G56" i="3"/>
  <c r="G60" i="3"/>
  <c r="G64" i="3"/>
  <c r="G68" i="3"/>
  <c r="G72" i="3"/>
  <c r="G76" i="3"/>
  <c r="G49" i="3"/>
  <c r="G53" i="3"/>
  <c r="G57" i="3"/>
  <c r="G61" i="3"/>
  <c r="G65" i="3"/>
  <c r="G69" i="3"/>
  <c r="G73" i="3"/>
  <c r="G77" i="3"/>
  <c r="G50" i="3"/>
  <c r="G54" i="3"/>
  <c r="G58" i="3"/>
  <c r="G62" i="3"/>
  <c r="G66" i="3"/>
  <c r="G70" i="3"/>
  <c r="G74" i="3"/>
  <c r="G78" i="3"/>
  <c r="G51" i="3"/>
  <c r="G55" i="3"/>
  <c r="G59" i="3"/>
  <c r="G63" i="3"/>
  <c r="G67" i="3"/>
  <c r="G71" i="3"/>
  <c r="G75" i="3"/>
  <c r="G79" i="3"/>
  <c r="H64" i="1"/>
  <c r="H63" i="1"/>
  <c r="H20" i="1"/>
  <c r="H19" i="1"/>
  <c r="B39" i="5" l="1"/>
  <c r="B36" i="5"/>
  <c r="B35" i="5"/>
  <c r="B34" i="5"/>
  <c r="B33" i="5"/>
  <c r="B11" i="5"/>
  <c r="B9" i="5"/>
  <c r="B8" i="5"/>
  <c r="B7" i="5"/>
  <c r="B6" i="5"/>
  <c r="B5" i="5"/>
  <c r="B4" i="5"/>
  <c r="I64" i="1" l="1"/>
  <c r="I63" i="1"/>
  <c r="I20" i="1"/>
  <c r="I19" i="1"/>
  <c r="J15" i="4"/>
  <c r="C16" i="3" l="1"/>
  <c r="D16" i="3"/>
  <c r="J19" i="4"/>
  <c r="I9" i="1"/>
  <c r="I8" i="1"/>
  <c r="I7" i="1"/>
  <c r="G27" i="2"/>
  <c r="G28" i="2"/>
  <c r="G29" i="2"/>
  <c r="G30" i="2"/>
  <c r="G31" i="2"/>
  <c r="E16" i="3" l="1"/>
  <c r="K29" i="4"/>
  <c r="I10" i="1" s="1"/>
  <c r="K40" i="4"/>
  <c r="I52" i="1" s="1"/>
  <c r="C8" i="3"/>
  <c r="D8" i="3"/>
  <c r="A96" i="3"/>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50" i="3"/>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D9" i="3" l="1"/>
  <c r="C9" i="3"/>
  <c r="E7" i="3"/>
  <c r="B95" i="3" s="1"/>
  <c r="E8" i="3"/>
  <c r="B68" i="2"/>
  <c r="B69" i="2"/>
  <c r="B71" i="2"/>
  <c r="G9" i="2"/>
  <c r="V6" i="1"/>
  <c r="V7" i="1"/>
  <c r="V8" i="1"/>
  <c r="V9" i="1"/>
  <c r="V10" i="1"/>
  <c r="V11" i="1"/>
  <c r="V12" i="1"/>
  <c r="V13" i="1"/>
  <c r="V14" i="1"/>
  <c r="V15" i="1"/>
  <c r="V16" i="1"/>
  <c r="V17" i="1"/>
  <c r="V18" i="1"/>
  <c r="V19" i="1"/>
  <c r="V20" i="1"/>
  <c r="V21" i="1"/>
  <c r="V5" i="1"/>
  <c r="E9" i="3" l="1"/>
  <c r="C50" i="3" s="1"/>
  <c r="B125" i="3"/>
  <c r="B99" i="3"/>
  <c r="B107" i="3"/>
  <c r="B115" i="3"/>
  <c r="B118" i="3"/>
  <c r="B100" i="3"/>
  <c r="B116" i="3"/>
  <c r="B110" i="3"/>
  <c r="B96" i="3"/>
  <c r="B97" i="3"/>
  <c r="B108" i="3"/>
  <c r="B104" i="3"/>
  <c r="B113" i="3"/>
  <c r="B119" i="3"/>
  <c r="B101" i="3"/>
  <c r="B109" i="3"/>
  <c r="B117" i="3"/>
  <c r="B120" i="3"/>
  <c r="B102" i="3"/>
  <c r="B112" i="3"/>
  <c r="B105" i="3"/>
  <c r="B121" i="3"/>
  <c r="B103" i="3"/>
  <c r="B111" i="3"/>
  <c r="B122" i="3"/>
  <c r="B123" i="3"/>
  <c r="B124" i="3"/>
  <c r="B98" i="3"/>
  <c r="B106" i="3"/>
  <c r="B114" i="3"/>
  <c r="B53" i="2"/>
  <c r="G53" i="2" s="1"/>
  <c r="B52" i="2"/>
  <c r="G52" i="2" s="1"/>
  <c r="B51" i="2"/>
  <c r="G51" i="2" s="1"/>
  <c r="G76" i="2"/>
  <c r="G75" i="2"/>
  <c r="G74" i="2"/>
  <c r="G73" i="2"/>
  <c r="G72" i="2"/>
  <c r="G71" i="2"/>
  <c r="G69" i="2"/>
  <c r="G68" i="2"/>
  <c r="G59" i="2"/>
  <c r="G58" i="2"/>
  <c r="G57" i="2"/>
  <c r="G56" i="2"/>
  <c r="G55" i="2"/>
  <c r="G54" i="2"/>
  <c r="B26" i="2"/>
  <c r="G26" i="2" s="1"/>
  <c r="B25" i="2"/>
  <c r="G25" i="2" s="1"/>
  <c r="B24" i="2"/>
  <c r="G24" i="2" s="1"/>
  <c r="B23" i="2"/>
  <c r="G23" i="2" s="1"/>
  <c r="B8" i="2"/>
  <c r="G8" i="2" s="1"/>
  <c r="B7" i="2"/>
  <c r="G7" i="2" s="1"/>
  <c r="G10" i="2"/>
  <c r="G11" i="2"/>
  <c r="G12" i="2"/>
  <c r="G13" i="2"/>
  <c r="G14" i="2"/>
  <c r="B6" i="2"/>
  <c r="C76" i="3" l="1"/>
  <c r="C59" i="3"/>
  <c r="C77" i="3"/>
  <c r="C78" i="3"/>
  <c r="C65" i="3"/>
  <c r="C79" i="3"/>
  <c r="C74" i="3"/>
  <c r="C64" i="3"/>
  <c r="C49" i="3"/>
  <c r="E49" i="3" s="1"/>
  <c r="F49" i="3" s="1"/>
  <c r="C71" i="3"/>
  <c r="C62" i="3"/>
  <c r="C61" i="3"/>
  <c r="C60" i="3"/>
  <c r="C55" i="3"/>
  <c r="C58" i="3"/>
  <c r="C73" i="3"/>
  <c r="C57" i="3"/>
  <c r="C72" i="3"/>
  <c r="C56" i="3"/>
  <c r="C67" i="3"/>
  <c r="C51" i="3"/>
  <c r="C70" i="3"/>
  <c r="C54" i="3"/>
  <c r="C69" i="3"/>
  <c r="C53" i="3"/>
  <c r="C68" i="3"/>
  <c r="C52" i="3"/>
  <c r="C63" i="3"/>
  <c r="C75" i="3"/>
  <c r="C66" i="3"/>
  <c r="D103" i="2"/>
  <c r="E78" i="3"/>
  <c r="E57" i="3"/>
  <c r="E77" i="3"/>
  <c r="E61" i="3"/>
  <c r="E60" i="3"/>
  <c r="E76" i="3"/>
  <c r="E54" i="3"/>
  <c r="E75" i="3"/>
  <c r="E50" i="3"/>
  <c r="G80" i="2"/>
  <c r="C112" i="2"/>
  <c r="C111" i="2"/>
  <c r="D111" i="2"/>
  <c r="D112" i="2"/>
  <c r="G6" i="2"/>
  <c r="C110" i="2" s="1"/>
  <c r="C103" i="2"/>
  <c r="C102" i="2"/>
  <c r="D104" i="2"/>
  <c r="C104" i="2"/>
  <c r="D102" i="2"/>
  <c r="G63" i="2"/>
  <c r="G35" i="2"/>
  <c r="AA51" i="1"/>
  <c r="AA52" i="1"/>
  <c r="AA53" i="1"/>
  <c r="AA54" i="1"/>
  <c r="AA55" i="1"/>
  <c r="AA56" i="1"/>
  <c r="AA57" i="1"/>
  <c r="AA58" i="1"/>
  <c r="AA59" i="1"/>
  <c r="AA60" i="1"/>
  <c r="AA61" i="1"/>
  <c r="AA62" i="1"/>
  <c r="AA63" i="1"/>
  <c r="AA64" i="1"/>
  <c r="AA65" i="1"/>
  <c r="AA66" i="1"/>
  <c r="AA50" i="1"/>
  <c r="Z51" i="1"/>
  <c r="Z52" i="1"/>
  <c r="Z53" i="1"/>
  <c r="Z54" i="1"/>
  <c r="Z55" i="1"/>
  <c r="Z56" i="1"/>
  <c r="Z57" i="1"/>
  <c r="Z58" i="1"/>
  <c r="Z59" i="1"/>
  <c r="Z60" i="1"/>
  <c r="Z61" i="1"/>
  <c r="Z62" i="1"/>
  <c r="Z63" i="1"/>
  <c r="Z64" i="1"/>
  <c r="Z65" i="1"/>
  <c r="Z66" i="1"/>
  <c r="Z50" i="1"/>
  <c r="Y51" i="1"/>
  <c r="Y52" i="1"/>
  <c r="Y53" i="1"/>
  <c r="Y54" i="1"/>
  <c r="Y55" i="1"/>
  <c r="Y56" i="1"/>
  <c r="Y57" i="1"/>
  <c r="Y58" i="1"/>
  <c r="Y59" i="1"/>
  <c r="Y60" i="1"/>
  <c r="Y61" i="1"/>
  <c r="Y62" i="1"/>
  <c r="Y63" i="1"/>
  <c r="Y64" i="1"/>
  <c r="Y65" i="1"/>
  <c r="Y66" i="1"/>
  <c r="Y50" i="1"/>
  <c r="AB6" i="1"/>
  <c r="AB7" i="1"/>
  <c r="AB8" i="1"/>
  <c r="AB9" i="1"/>
  <c r="AB10" i="1"/>
  <c r="AB11" i="1"/>
  <c r="AB12" i="1"/>
  <c r="AB13" i="1"/>
  <c r="AB14" i="1"/>
  <c r="AB15" i="1"/>
  <c r="AB16" i="1"/>
  <c r="AB17" i="1"/>
  <c r="AB18" i="1"/>
  <c r="AB19" i="1"/>
  <c r="AB20" i="1"/>
  <c r="AB21" i="1"/>
  <c r="AB5" i="1"/>
  <c r="AA6" i="1"/>
  <c r="AA7" i="1"/>
  <c r="AA8" i="1"/>
  <c r="AA9" i="1"/>
  <c r="AA10" i="1"/>
  <c r="AA11" i="1"/>
  <c r="AA12" i="1"/>
  <c r="AA13" i="1"/>
  <c r="AA14" i="1"/>
  <c r="AA15" i="1"/>
  <c r="AA16" i="1"/>
  <c r="AA17" i="1"/>
  <c r="AA18" i="1"/>
  <c r="AA19" i="1"/>
  <c r="AA20" i="1"/>
  <c r="AA21" i="1"/>
  <c r="AA5" i="1"/>
  <c r="Z6" i="1"/>
  <c r="Z7" i="1"/>
  <c r="Z8" i="1"/>
  <c r="Z9" i="1"/>
  <c r="Z10" i="1"/>
  <c r="Z11" i="1"/>
  <c r="Z12" i="1"/>
  <c r="Z13" i="1"/>
  <c r="Z14" i="1"/>
  <c r="Z15" i="1"/>
  <c r="Z16" i="1"/>
  <c r="Z17" i="1"/>
  <c r="Z18" i="1"/>
  <c r="Z19" i="1"/>
  <c r="Z20" i="1"/>
  <c r="Z21" i="1"/>
  <c r="Z5" i="1"/>
  <c r="X51" i="1"/>
  <c r="X52" i="1"/>
  <c r="X53" i="1"/>
  <c r="X54" i="1"/>
  <c r="X55" i="1"/>
  <c r="X56" i="1"/>
  <c r="X57" i="1"/>
  <c r="X58" i="1"/>
  <c r="X59" i="1"/>
  <c r="X60" i="1"/>
  <c r="X61" i="1"/>
  <c r="X62" i="1"/>
  <c r="X63" i="1"/>
  <c r="X64" i="1"/>
  <c r="X65" i="1"/>
  <c r="X66" i="1"/>
  <c r="X50" i="1"/>
  <c r="Y6" i="1"/>
  <c r="Y7" i="1"/>
  <c r="Y8" i="1"/>
  <c r="Y9" i="1"/>
  <c r="Y10" i="1"/>
  <c r="Y11" i="1"/>
  <c r="Y12" i="1"/>
  <c r="Y13" i="1"/>
  <c r="Y14" i="1"/>
  <c r="Y15" i="1"/>
  <c r="Y16" i="1"/>
  <c r="Y17" i="1"/>
  <c r="Y18" i="1"/>
  <c r="Y19" i="1"/>
  <c r="Y20" i="1"/>
  <c r="Y21" i="1"/>
  <c r="Y5" i="1"/>
  <c r="AC67" i="1"/>
  <c r="AB67" i="1"/>
  <c r="W51" i="1"/>
  <c r="W52" i="1"/>
  <c r="W53" i="1"/>
  <c r="W54" i="1"/>
  <c r="W55" i="1"/>
  <c r="W56" i="1"/>
  <c r="W57" i="1"/>
  <c r="W58" i="1"/>
  <c r="W59" i="1"/>
  <c r="W60" i="1"/>
  <c r="W61" i="1"/>
  <c r="W62" i="1"/>
  <c r="W63" i="1"/>
  <c r="W64" i="1"/>
  <c r="W65" i="1"/>
  <c r="W66" i="1"/>
  <c r="W50" i="1"/>
  <c r="V51" i="1"/>
  <c r="V52" i="1"/>
  <c r="V53" i="1"/>
  <c r="V54" i="1"/>
  <c r="V55" i="1"/>
  <c r="V56" i="1"/>
  <c r="V57" i="1"/>
  <c r="V58" i="1"/>
  <c r="V59" i="1"/>
  <c r="V60" i="1"/>
  <c r="V61" i="1"/>
  <c r="V62" i="1"/>
  <c r="V63" i="1"/>
  <c r="V64" i="1"/>
  <c r="V65" i="1"/>
  <c r="V66" i="1"/>
  <c r="V50" i="1"/>
  <c r="U50" i="1"/>
  <c r="AC22" i="1"/>
  <c r="X6" i="1"/>
  <c r="X7" i="1"/>
  <c r="X8" i="1"/>
  <c r="X9" i="1"/>
  <c r="X10" i="1"/>
  <c r="X11" i="1"/>
  <c r="X12" i="1"/>
  <c r="X13" i="1"/>
  <c r="X14" i="1"/>
  <c r="X15" i="1"/>
  <c r="X16" i="1"/>
  <c r="X17" i="1"/>
  <c r="X18" i="1"/>
  <c r="X19" i="1"/>
  <c r="X20" i="1"/>
  <c r="X21" i="1"/>
  <c r="X5" i="1"/>
  <c r="T51" i="1"/>
  <c r="T52" i="1" s="1"/>
  <c r="T53" i="1" s="1"/>
  <c r="T54" i="1" s="1"/>
  <c r="T55" i="1" s="1"/>
  <c r="T56" i="1" s="1"/>
  <c r="T57" i="1" s="1"/>
  <c r="T58" i="1" s="1"/>
  <c r="T59" i="1" s="1"/>
  <c r="T60" i="1" s="1"/>
  <c r="T61" i="1" s="1"/>
  <c r="T62" i="1" s="1"/>
  <c r="T63" i="1" s="1"/>
  <c r="T64" i="1" s="1"/>
  <c r="T65" i="1" s="1"/>
  <c r="T66" i="1" s="1"/>
  <c r="T67" i="1" s="1"/>
  <c r="AD22" i="1"/>
  <c r="W6" i="1"/>
  <c r="W7" i="1"/>
  <c r="W8" i="1"/>
  <c r="W9" i="1"/>
  <c r="W10" i="1"/>
  <c r="W11" i="1"/>
  <c r="W12" i="1"/>
  <c r="W13" i="1"/>
  <c r="W14" i="1"/>
  <c r="W15" i="1"/>
  <c r="W16" i="1"/>
  <c r="W17" i="1"/>
  <c r="W18" i="1"/>
  <c r="W19" i="1"/>
  <c r="W20" i="1"/>
  <c r="W21" i="1"/>
  <c r="W5" i="1"/>
  <c r="T6" i="1"/>
  <c r="T7" i="1" s="1"/>
  <c r="T8" i="1" s="1"/>
  <c r="T9" i="1" s="1"/>
  <c r="T10" i="1" s="1"/>
  <c r="T11" i="1" s="1"/>
  <c r="T12" i="1" s="1"/>
  <c r="T13" i="1" s="1"/>
  <c r="T14" i="1" s="1"/>
  <c r="T15" i="1" s="1"/>
  <c r="T16" i="1" s="1"/>
  <c r="T17" i="1" s="1"/>
  <c r="T18" i="1" s="1"/>
  <c r="T19" i="1" s="1"/>
  <c r="T20" i="1" s="1"/>
  <c r="T21" i="1" s="1"/>
  <c r="T22" i="1" s="1"/>
  <c r="U5" i="1"/>
  <c r="E59" i="3" l="1"/>
  <c r="E74" i="3"/>
  <c r="F50" i="3"/>
  <c r="E65" i="3"/>
  <c r="E51" i="3"/>
  <c r="E64" i="3"/>
  <c r="E67" i="3"/>
  <c r="E62" i="3"/>
  <c r="E69" i="3"/>
  <c r="E63" i="3"/>
  <c r="E73" i="3"/>
  <c r="E79" i="3"/>
  <c r="E71" i="3"/>
  <c r="E70" i="3"/>
  <c r="E55" i="3"/>
  <c r="E72" i="3"/>
  <c r="E66" i="3"/>
  <c r="E68" i="3"/>
  <c r="E53" i="3"/>
  <c r="E58" i="3"/>
  <c r="E52" i="3"/>
  <c r="E56" i="3"/>
  <c r="D110" i="2"/>
  <c r="E110" i="2" s="1"/>
  <c r="E111" i="2"/>
  <c r="E112" i="2"/>
  <c r="G18" i="2"/>
  <c r="E104" i="2"/>
  <c r="E102" i="2"/>
  <c r="E103" i="2"/>
  <c r="F82" i="2"/>
  <c r="C90" i="5" s="1"/>
  <c r="E101" i="2"/>
  <c r="B42" i="5"/>
  <c r="B41" i="1"/>
  <c r="B41" i="5" s="1"/>
  <c r="B40" i="1"/>
  <c r="B40" i="5" s="1"/>
  <c r="F51" i="3" l="1"/>
  <c r="F52" i="3" s="1"/>
  <c r="F53" i="3" s="1"/>
  <c r="F54" i="3" s="1"/>
  <c r="F55" i="3" s="1"/>
  <c r="F56" i="3" s="1"/>
  <c r="F57" i="3" s="1"/>
  <c r="F58" i="3" s="1"/>
  <c r="F59" i="3" s="1"/>
  <c r="F60" i="3" s="1"/>
  <c r="F61" i="3" s="1"/>
  <c r="F62" i="3" s="1"/>
  <c r="F63" i="3" s="1"/>
  <c r="F64" i="3" s="1"/>
  <c r="F65" i="3" s="1"/>
  <c r="F66" i="3" s="1"/>
  <c r="F67" i="3" s="1"/>
  <c r="F68" i="3" s="1"/>
  <c r="F69" i="3" s="1"/>
  <c r="F70" i="3" s="1"/>
  <c r="F71" i="3" s="1"/>
  <c r="F72" i="3" s="1"/>
  <c r="F73" i="3" s="1"/>
  <c r="F74" i="3" s="1"/>
  <c r="F75" i="3" s="1"/>
  <c r="F76" i="3" s="1"/>
  <c r="F77" i="3" s="1"/>
  <c r="F78" i="3" s="1"/>
  <c r="F79" i="3" s="1"/>
  <c r="H79" i="3" s="1"/>
  <c r="E106" i="2"/>
  <c r="E114" i="2"/>
  <c r="F37" i="2"/>
  <c r="C67" i="5" s="1"/>
  <c r="E116" i="2" l="1"/>
  <c r="C95" i="5" s="1"/>
  <c r="H62" i="3" l="1"/>
  <c r="H53" i="3" l="1"/>
  <c r="H76" i="3"/>
  <c r="H52" i="3"/>
  <c r="H66" i="3"/>
  <c r="H69" i="3"/>
  <c r="H72" i="3"/>
  <c r="H77" i="3"/>
  <c r="H59" i="3"/>
  <c r="H63" i="3"/>
  <c r="H71" i="3"/>
  <c r="H56" i="3"/>
  <c r="H65" i="3"/>
  <c r="H64" i="3"/>
  <c r="H68" i="3"/>
  <c r="H60" i="3"/>
  <c r="H50" i="3"/>
  <c r="H58" i="3"/>
  <c r="H61" i="3"/>
  <c r="H55" i="3"/>
  <c r="H57" i="3"/>
  <c r="H74" i="3"/>
  <c r="H67" i="3"/>
  <c r="H54" i="3"/>
  <c r="H73" i="3"/>
  <c r="H49" i="3"/>
  <c r="H51" i="3"/>
  <c r="H70" i="3"/>
  <c r="H75" i="3"/>
  <c r="H78" i="3"/>
  <c r="K2" i="3" l="1" a="1"/>
  <c r="K2" i="3" s="1"/>
  <c r="K3" i="3" l="1"/>
  <c r="K4" i="3" s="1"/>
  <c r="C100" i="5" s="1"/>
  <c r="C99" i="5" l="1"/>
</calcChain>
</file>

<file path=xl/sharedStrings.xml><?xml version="1.0" encoding="utf-8"?>
<sst xmlns="http://schemas.openxmlformats.org/spreadsheetml/2006/main" count="411" uniqueCount="225">
  <si>
    <t>PROJECT IDENTIFICATION</t>
  </si>
  <si>
    <t>Project Name:</t>
  </si>
  <si>
    <t>Fiscal year:</t>
  </si>
  <si>
    <t xml:space="preserve">Location: </t>
  </si>
  <si>
    <t>Notes</t>
  </si>
  <si>
    <t>Design feature to be Evaluated:</t>
  </si>
  <si>
    <t>List Constraints:</t>
  </si>
  <si>
    <t>Attach page if needed</t>
  </si>
  <si>
    <t>BASE CASE AND ALTERNATIVES</t>
  </si>
  <si>
    <t>GENERAL INFORMATION:</t>
  </si>
  <si>
    <t>Name of Analyst:</t>
  </si>
  <si>
    <t>Phone Number:</t>
  </si>
  <si>
    <t>Date of Study Completion:</t>
  </si>
  <si>
    <t>KEY DATES</t>
  </si>
  <si>
    <t>Base Date (BD):</t>
  </si>
  <si>
    <t>Service Date (SD):</t>
  </si>
  <si>
    <t>Years of Life:</t>
  </si>
  <si>
    <t xml:space="preserve">OMB A-94? </t>
  </si>
  <si>
    <t>Energy/Water Conservation Study? (FEMP)</t>
  </si>
  <si>
    <t>SD:</t>
  </si>
  <si>
    <t>BD:</t>
  </si>
  <si>
    <t>End of Study:</t>
  </si>
  <si>
    <t>Initial investment:</t>
  </si>
  <si>
    <t>OM &amp; R:</t>
  </si>
  <si>
    <t>End of Life Expectancy</t>
  </si>
  <si>
    <t>Salve Value:</t>
  </si>
  <si>
    <t>MM/DD/YYYY</t>
  </si>
  <si>
    <t>CATEGORY</t>
  </si>
  <si>
    <t>COST</t>
  </si>
  <si>
    <t>YEAR # IN LIFETIME</t>
  </si>
  <si>
    <t>Year</t>
  </si>
  <si>
    <t>Init. Inv.</t>
  </si>
  <si>
    <t>Electricity</t>
  </si>
  <si>
    <t>OMR</t>
  </si>
  <si>
    <t>Other1</t>
  </si>
  <si>
    <t>Other2</t>
  </si>
  <si>
    <t>Other3</t>
  </si>
  <si>
    <t>Salvage</t>
  </si>
  <si>
    <t>Column1</t>
  </si>
  <si>
    <t>Column2</t>
  </si>
  <si>
    <t>Column3</t>
  </si>
  <si>
    <t>Column4</t>
  </si>
  <si>
    <t>Column5</t>
  </si>
  <si>
    <t>Column6</t>
  </si>
  <si>
    <t>Column7</t>
  </si>
  <si>
    <t>Column16</t>
  </si>
  <si>
    <t>Column17</t>
  </si>
  <si>
    <t>Gas</t>
  </si>
  <si>
    <t>(Usually $3.5 per million Btu)</t>
  </si>
  <si>
    <t>(Usually $0.08 per kW/h)</t>
  </si>
  <si>
    <t>Total Electricity:</t>
  </si>
  <si>
    <t>Resale value:</t>
  </si>
  <si>
    <t>Resale</t>
  </si>
  <si>
    <t>COST PER YEAR</t>
  </si>
  <si>
    <t>Water</t>
  </si>
  <si>
    <t>Column62</t>
  </si>
  <si>
    <t>Column63</t>
  </si>
  <si>
    <t>Initial Investment:</t>
  </si>
  <si>
    <t>Resale:</t>
  </si>
  <si>
    <t>Salvage:</t>
  </si>
  <si>
    <t>See previous sheet values and parts</t>
  </si>
  <si>
    <t>AMOUNT</t>
  </si>
  <si>
    <t>PRESENT VALUE</t>
  </si>
  <si>
    <t>Total Natural Gas:</t>
  </si>
  <si>
    <t>Water:</t>
  </si>
  <si>
    <t>Calculate Savings-to-Investment Ratio:</t>
  </si>
  <si>
    <t>Operational-Related Costs:</t>
  </si>
  <si>
    <t>Total Energy:</t>
  </si>
  <si>
    <t>Sum of Other Costs:</t>
  </si>
  <si>
    <t>Savings</t>
  </si>
  <si>
    <t>Investment-Related Costs:</t>
  </si>
  <si>
    <t>Salvage Value:</t>
  </si>
  <si>
    <t>Resale+Salvage:</t>
  </si>
  <si>
    <t>Savings-to-Investments Ratio (SIR):</t>
  </si>
  <si>
    <t>Discount Payback Period Calculation:</t>
  </si>
  <si>
    <t>Yes</t>
  </si>
  <si>
    <t>Lower-First-Cost Option</t>
  </si>
  <si>
    <t>Higher-First-Cost Option</t>
  </si>
  <si>
    <t>FACTOR TABLE NO.</t>
  </si>
  <si>
    <t>Differential Amount</t>
  </si>
  <si>
    <t>Sum of Other Annual Costs:</t>
  </si>
  <si>
    <t>Service Year</t>
  </si>
  <si>
    <t>Annual Energy Savings</t>
  </si>
  <si>
    <t>Cumulative PV Savings</t>
  </si>
  <si>
    <t>Change in PV Initial Investment</t>
  </si>
  <si>
    <t>PV net savings</t>
  </si>
  <si>
    <t>Column8</t>
  </si>
  <si>
    <t>Notes:</t>
  </si>
  <si>
    <t>https://www.nist.gov/publications/energy-price-indices-and-discount-factors-life-cycle-cost-analysis-150-2019-annual</t>
  </si>
  <si>
    <r>
      <t xml:space="preserve">&lt;-- </t>
    </r>
    <r>
      <rPr>
        <u/>
        <sz val="10"/>
        <color theme="1"/>
        <rFont val="Calibri"/>
        <family val="2"/>
        <scheme val="minor"/>
      </rPr>
      <t>Notes</t>
    </r>
  </si>
  <si>
    <t>End of Lifetime</t>
  </si>
  <si>
    <t>First Positive Savings:</t>
  </si>
  <si>
    <r>
      <t xml:space="preserve">Other </t>
    </r>
    <r>
      <rPr>
        <b/>
        <sz val="11"/>
        <color theme="1"/>
        <rFont val="Calibri"/>
        <family val="2"/>
        <scheme val="minor"/>
      </rPr>
      <t xml:space="preserve">One-Time </t>
    </r>
    <r>
      <rPr>
        <sz val="11"/>
        <color theme="1"/>
        <rFont val="Calibri"/>
        <family val="2"/>
        <scheme val="minor"/>
      </rPr>
      <t xml:space="preserve">Costs (replacements, disposal, etc.) </t>
    </r>
  </si>
  <si>
    <t>Gas Line Extension Calculations:</t>
  </si>
  <si>
    <t>Linear measurement of extension (in feet):</t>
  </si>
  <si>
    <t>For lines up to 10 inch diameter</t>
  </si>
  <si>
    <t>Quoted 5/28/19</t>
  </si>
  <si>
    <r>
      <t xml:space="preserve">Other </t>
    </r>
    <r>
      <rPr>
        <b/>
        <sz val="11"/>
        <color theme="1"/>
        <rFont val="Calibri"/>
        <family val="2"/>
        <scheme val="minor"/>
      </rPr>
      <t>One-Time</t>
    </r>
    <r>
      <rPr>
        <sz val="11"/>
        <color theme="1"/>
        <rFont val="Calibri"/>
        <family val="2"/>
        <scheme val="minor"/>
      </rPr>
      <t xml:space="preserve"> Costs (replacements, disposal, etc.) </t>
    </r>
  </si>
  <si>
    <t>Annual Water Cost Calculations:</t>
  </si>
  <si>
    <t>Number of Office Workers:</t>
  </si>
  <si>
    <t>Amount of Water Per Person (in kilo-gallons):</t>
  </si>
  <si>
    <t>Amount of Processes Water Needed (in kilo-gallons):</t>
  </si>
  <si>
    <t>Total Annual Cost of Water:</t>
  </si>
  <si>
    <t>Cost of Water (per kgal)</t>
  </si>
  <si>
    <t>Includes cost of construction, quoted 5/28/19</t>
  </si>
  <si>
    <t>FISCAL YEAR OF DISCOUNT PAYBACK:</t>
  </si>
  <si>
    <t>Instructions:</t>
  </si>
  <si>
    <t xml:space="preserve">User must fill in each applicable yellow field input area. Notes are provided for clarity when inputting values. White areas are coded to provide Life-Cycle Cost Analysis (LCCA), do not interfere with these calculations. </t>
  </si>
  <si>
    <t>Citations:</t>
  </si>
  <si>
    <t>Z-Number:</t>
  </si>
  <si>
    <t xml:space="preserve">The following result can be concluded from this worksheet: General project identificaiton information, cash flow comparisons (visual and numerical),  savings-to-investment ratio, and discount payback period. </t>
  </si>
  <si>
    <t xml:space="preserve">https://www.nist.gov/publications/life-cycle-costing-manual-federal-energy-management-program-nist-handbook-135-1995 </t>
  </si>
  <si>
    <t>Design Feature to be Evaluated:</t>
  </si>
  <si>
    <t>SUMMARY OF LIFE-CYCLE COST ANALYSIS</t>
  </si>
  <si>
    <t>Total Investment-Related Costs:</t>
  </si>
  <si>
    <t>Total Operation-Related Costs:</t>
  </si>
  <si>
    <t>SAVINGS-TO-INVESTMENT RATIO:</t>
  </si>
  <si>
    <t>Fiscal year of Discount Payback:</t>
  </si>
  <si>
    <t>Terminology Clarifications:</t>
  </si>
  <si>
    <t>Gas/Elec Cost includes natural gas.</t>
  </si>
  <si>
    <t>In dollars at time of Base Date (BD).</t>
  </si>
  <si>
    <t>Category:</t>
  </si>
  <si>
    <t>For costs not listed that occur annually, add to highlighted space in "General &amp; Cash Flow" tab where "all" is listed. For costs not listed that occur once, add to highlighted space in "General &amp; Cash Flow" tab where the year must be specified. Specify the year at which the cost takes place in the provided space.</t>
  </si>
  <si>
    <r>
      <t xml:space="preserve">User fills in </t>
    </r>
    <r>
      <rPr>
        <b/>
        <sz val="9"/>
        <color theme="1"/>
        <rFont val="Calibri"/>
        <family val="2"/>
        <scheme val="minor"/>
      </rPr>
      <t xml:space="preserve">one-time cost </t>
    </r>
    <r>
      <rPr>
        <sz val="9"/>
        <color theme="1"/>
        <rFont val="Calibri"/>
        <family val="2"/>
        <scheme val="minor"/>
      </rPr>
      <t>of same type. Place name in category column, and cost in appropriate column.</t>
    </r>
  </si>
  <si>
    <t>A negative value is shown inside parentheses, and must be entered as negative in the input section.</t>
  </si>
  <si>
    <t xml:space="preserve">User enters differential amount (Table DPP1, Column E) into correct year. </t>
  </si>
  <si>
    <t>PAYBACK PERIOD:</t>
  </si>
  <si>
    <t>Discount Payback Period:</t>
  </si>
  <si>
    <t>Information Needed to Complete this Workbook:</t>
  </si>
  <si>
    <t>Cost of Gas vs. Electric LCC Analysis Calculator                             - See Appendix C in NIST Handbook 135 for Guidance</t>
  </si>
  <si>
    <t>Column9</t>
  </si>
  <si>
    <t>Column10</t>
  </si>
  <si>
    <t>Discount Payback Period Result: FEMP Project</t>
  </si>
  <si>
    <t>DISCOUNT PAYBACK PERIOD: FEMP</t>
  </si>
  <si>
    <r>
      <t xml:space="preserve">SPV Factor Index </t>
    </r>
    <r>
      <rPr>
        <b/>
        <sz val="10"/>
        <color theme="1"/>
        <rFont val="Calibri"/>
        <family val="2"/>
        <scheme val="minor"/>
      </rPr>
      <t>DOE</t>
    </r>
    <r>
      <rPr>
        <sz val="10"/>
        <color theme="1"/>
        <rFont val="Calibri"/>
        <family val="2"/>
        <scheme val="minor"/>
      </rPr>
      <t xml:space="preserve"> Discount Rate </t>
    </r>
    <r>
      <rPr>
        <sz val="10"/>
        <color rgb="FFFF0000"/>
        <rFont val="Calibri"/>
        <family val="2"/>
        <scheme val="minor"/>
      </rPr>
      <t>(2019)</t>
    </r>
  </si>
  <si>
    <r>
      <t xml:space="preserve">Present Value (PV) Savings </t>
    </r>
    <r>
      <rPr>
        <sz val="10"/>
        <color rgb="FFFF0000"/>
        <rFont val="Calibri"/>
        <family val="2"/>
        <scheme val="minor"/>
      </rPr>
      <t>DOE</t>
    </r>
  </si>
  <si>
    <t>Change in Capital Replacements</t>
  </si>
  <si>
    <r>
      <rPr>
        <b/>
        <sz val="11"/>
        <color theme="1"/>
        <rFont val="Calibri"/>
        <family val="2"/>
        <scheme val="minor"/>
      </rPr>
      <t xml:space="preserve">Table DPP3: </t>
    </r>
    <r>
      <rPr>
        <sz val="11"/>
        <color theme="1"/>
        <rFont val="Calibri"/>
        <family val="2"/>
        <scheme val="minor"/>
      </rPr>
      <t>CALCULATE COMPONENTS OF DPP CALCULATION TABLE ABOVE</t>
    </r>
  </si>
  <si>
    <t>Project ID No:</t>
  </si>
  <si>
    <t>MM/DD/YYYY (Occupancy)</t>
  </si>
  <si>
    <t>MM/DD/YYYY (Start of study)</t>
  </si>
  <si>
    <t>No</t>
  </si>
  <si>
    <t>Office of Management and Budget circular not at LANL</t>
  </si>
  <si>
    <r>
      <t xml:space="preserve">Use tables </t>
    </r>
    <r>
      <rPr>
        <b/>
        <sz val="11"/>
        <color theme="1"/>
        <rFont val="Calibri"/>
        <family val="2"/>
        <scheme val="minor"/>
      </rPr>
      <t>Ca-4</t>
    </r>
    <r>
      <rPr>
        <sz val="11"/>
        <color theme="1"/>
        <rFont val="Calibri"/>
        <family val="2"/>
        <scheme val="minor"/>
      </rPr>
      <t xml:space="preserve"> through</t>
    </r>
    <r>
      <rPr>
        <b/>
        <sz val="11"/>
        <color theme="1"/>
        <rFont val="Calibri"/>
        <family val="2"/>
        <scheme val="minor"/>
      </rPr>
      <t xml:space="preserve"> Ca-5 </t>
    </r>
    <r>
      <rPr>
        <sz val="11"/>
        <color theme="1"/>
        <rFont val="Calibri"/>
        <family val="2"/>
        <scheme val="minor"/>
      </rPr>
      <t xml:space="preserve">of the </t>
    </r>
    <r>
      <rPr>
        <i/>
        <sz val="11"/>
        <color theme="1"/>
        <rFont val="Calibri"/>
        <family val="2"/>
        <scheme val="minor"/>
      </rPr>
      <t xml:space="preserve">Energy Price Indices and Discount Factors LCCA 2019, Annual Supplement to Handbook 135 </t>
    </r>
    <r>
      <rPr>
        <sz val="11"/>
        <color theme="1"/>
        <rFont val="Calibri"/>
        <family val="2"/>
        <scheme val="minor"/>
      </rPr>
      <t xml:space="preserve">(page </t>
    </r>
    <r>
      <rPr>
        <sz val="11"/>
        <rFont val="Calibri"/>
        <family val="2"/>
        <scheme val="minor"/>
      </rPr>
      <t>39</t>
    </r>
    <r>
      <rPr>
        <sz val="11"/>
        <color theme="1"/>
        <rFont val="Calibri"/>
        <family val="2"/>
        <scheme val="minor"/>
      </rPr>
      <t>) to calculate annual energy savings.</t>
    </r>
  </si>
  <si>
    <t>Annual</t>
  </si>
  <si>
    <r>
      <t>DISCOUNT FACTOR (</t>
    </r>
    <r>
      <rPr>
        <b/>
        <sz val="11"/>
        <color theme="1"/>
        <rFont val="Calibri"/>
        <family val="2"/>
        <scheme val="minor"/>
      </rPr>
      <t>SPV</t>
    </r>
    <r>
      <rPr>
        <sz val="11"/>
        <color theme="1"/>
        <rFont val="Calibri"/>
        <family val="2"/>
        <scheme val="minor"/>
      </rPr>
      <t>)</t>
    </r>
  </si>
  <si>
    <r>
      <t>DISCOUNT FACTOR (</t>
    </r>
    <r>
      <rPr>
        <b/>
        <sz val="11"/>
        <color theme="1"/>
        <rFont val="Calibri"/>
        <family val="2"/>
        <scheme val="minor"/>
      </rPr>
      <t>UPV or SPV</t>
    </r>
    <r>
      <rPr>
        <sz val="11"/>
        <color theme="1"/>
        <rFont val="Calibri"/>
        <family val="2"/>
        <scheme val="minor"/>
      </rPr>
      <t>)</t>
    </r>
  </si>
  <si>
    <t>SIR is cost effective if the ratio is greater than 1. This measure is relative to the base case.</t>
  </si>
  <si>
    <r>
      <t>DISCOUNT FACTOR (</t>
    </r>
    <r>
      <rPr>
        <b/>
        <sz val="11"/>
        <color theme="1"/>
        <rFont val="Calibri"/>
        <family val="2"/>
        <scheme val="minor"/>
      </rPr>
      <t>SPV or UPV</t>
    </r>
    <r>
      <rPr>
        <sz val="11"/>
        <color theme="1"/>
        <rFont val="Calibri"/>
        <family val="2"/>
        <scheme val="minor"/>
      </rPr>
      <t>)</t>
    </r>
  </si>
  <si>
    <r>
      <t xml:space="preserve">Use </t>
    </r>
    <r>
      <rPr>
        <b/>
        <sz val="11"/>
        <color theme="1"/>
        <rFont val="Calibri"/>
        <family val="2"/>
        <scheme val="minor"/>
      </rPr>
      <t xml:space="preserve">Tables od Section A </t>
    </r>
    <r>
      <rPr>
        <sz val="11"/>
        <color theme="1"/>
        <rFont val="Calibri"/>
        <family val="2"/>
        <scheme val="minor"/>
      </rPr>
      <t>of the</t>
    </r>
    <r>
      <rPr>
        <i/>
        <sz val="11"/>
        <color theme="1"/>
        <rFont val="Calibri"/>
        <family val="2"/>
        <scheme val="minor"/>
      </rPr>
      <t xml:space="preserve"> Energy Price Indices and Discount Factors LCCA 2019, Annual Supplement to Handbook 135</t>
    </r>
    <r>
      <rPr>
        <sz val="11"/>
        <color theme="1"/>
        <rFont val="Calibri"/>
        <family val="2"/>
        <scheme val="minor"/>
      </rPr>
      <t xml:space="preserve"> (page 8) to find SPV and UPV factors.</t>
    </r>
  </si>
  <si>
    <r>
      <t xml:space="preserve">Fuel Index - Commercial Electricity </t>
    </r>
    <r>
      <rPr>
        <sz val="10"/>
        <color rgb="FFFF0000"/>
        <rFont val="Calibri"/>
        <family val="2"/>
        <scheme val="minor"/>
      </rPr>
      <t>(2019)</t>
    </r>
  </si>
  <si>
    <r>
      <t xml:space="preserve">Fuel Index - Commercial Natural Gas </t>
    </r>
    <r>
      <rPr>
        <sz val="10"/>
        <color rgb="FFFF0000"/>
        <rFont val="Calibri"/>
        <family val="2"/>
        <scheme val="minor"/>
      </rPr>
      <t>(2019)</t>
    </r>
  </si>
  <si>
    <t>Other One-Time Cost Differentials</t>
  </si>
  <si>
    <r>
      <t xml:space="preserve">Note: The differential amounts above will be used in </t>
    </r>
    <r>
      <rPr>
        <b/>
        <sz val="11"/>
        <color theme="0" tint="-0.499984740745262"/>
        <rFont val="Calibri"/>
        <family val="2"/>
        <scheme val="minor"/>
      </rPr>
      <t>Table DPP3</t>
    </r>
    <r>
      <rPr>
        <sz val="11"/>
        <color theme="0" tint="-0.499984740745262"/>
        <rFont val="Calibri"/>
        <family val="2"/>
        <scheme val="minor"/>
      </rPr>
      <t xml:space="preserve"> below</t>
    </r>
  </si>
  <si>
    <t>Change in OM&amp;R, Water, and Other</t>
  </si>
  <si>
    <t>Quantity (commonly 25-30 years)</t>
  </si>
  <si>
    <t>Resale/Salvage</t>
  </si>
  <si>
    <t>Note: Discount payback period measures the time of recovery to meet initial investment costs.</t>
  </si>
  <si>
    <t>Total Op. Savings (in Thousands):</t>
  </si>
  <si>
    <t>Total Additional Investment (in Thousands):</t>
  </si>
  <si>
    <t>Year in Lifetime</t>
  </si>
  <si>
    <t>Year in lifetime/end year of occurances</t>
  </si>
  <si>
    <r>
      <t xml:space="preserve"> (Rates included in NIST Handbook 135 Annual Suppliment discount factors.</t>
    </r>
    <r>
      <rPr>
        <b/>
        <sz val="10"/>
        <color theme="1"/>
        <rFont val="Calibri"/>
        <family val="2"/>
        <scheme val="minor"/>
      </rPr>
      <t xml:space="preserve"> Must discount to ending year of occurance</t>
    </r>
    <r>
      <rPr>
        <sz val="10"/>
        <color theme="1"/>
        <rFont val="Calibri"/>
        <family val="2"/>
        <scheme val="minor"/>
      </rPr>
      <t>).</t>
    </r>
  </si>
  <si>
    <r>
      <t xml:space="preserve"> (Rates included in NIST Handbook 135 Annual Suppliment discount factors. </t>
    </r>
    <r>
      <rPr>
        <b/>
        <sz val="10"/>
        <color theme="1"/>
        <rFont val="Calibri"/>
        <family val="2"/>
        <scheme val="minor"/>
      </rPr>
      <t>Must discount to ending year of occurance</t>
    </r>
    <r>
      <rPr>
        <sz val="10"/>
        <color theme="1"/>
        <rFont val="Calibri"/>
        <family val="2"/>
        <scheme val="minor"/>
      </rPr>
      <t>).</t>
    </r>
  </si>
  <si>
    <t xml:space="preserve">UPV is for uniform/annual costs, while SPV is for single expense/one-time  costs.  </t>
  </si>
  <si>
    <t>Cost in thousands, quoted 5/28/19 at $3.40 per kgal</t>
  </si>
  <si>
    <r>
      <rPr>
        <b/>
        <sz val="11"/>
        <color theme="1"/>
        <rFont val="Calibri"/>
        <family val="2"/>
        <scheme val="minor"/>
      </rPr>
      <t>Table DPP2:</t>
    </r>
    <r>
      <rPr>
        <sz val="11"/>
        <color theme="1"/>
        <rFont val="Calibri"/>
        <family val="2"/>
        <scheme val="minor"/>
      </rPr>
      <t xml:space="preserve"> </t>
    </r>
    <r>
      <rPr>
        <sz val="11"/>
        <color rgb="FFFF0000"/>
        <rFont val="Calibri"/>
        <family val="2"/>
        <scheme val="minor"/>
      </rPr>
      <t>DOE</t>
    </r>
    <r>
      <rPr>
        <sz val="11"/>
        <color theme="1"/>
        <rFont val="Calibri"/>
        <family val="2"/>
        <scheme val="minor"/>
      </rPr>
      <t xml:space="preserve"> CALCULATIONS (IN THOUSANDS)</t>
    </r>
  </si>
  <si>
    <r>
      <rPr>
        <b/>
        <sz val="11"/>
        <color theme="1"/>
        <rFont val="Calibri"/>
        <family val="2"/>
        <scheme val="minor"/>
      </rPr>
      <t>Table DPP1:</t>
    </r>
    <r>
      <rPr>
        <sz val="11"/>
        <color theme="1"/>
        <rFont val="Calibri"/>
        <family val="2"/>
        <scheme val="minor"/>
      </rPr>
      <t xml:space="preserve"> CALCULATION OF DIFFERENTIAL AMOUNTS (IN THOUSANDS)</t>
    </r>
  </si>
  <si>
    <t>DoE Region, LANL Building</t>
  </si>
  <si>
    <r>
      <t xml:space="preserve">Note: See Tables from the </t>
    </r>
    <r>
      <rPr>
        <i/>
        <sz val="11"/>
        <color theme="1"/>
        <rFont val="Calibri"/>
        <family val="2"/>
        <scheme val="minor"/>
      </rPr>
      <t>Energy Price Indices and Discount Factors LCCA 2019, Annual Supplement to Handbook 135</t>
    </r>
    <r>
      <rPr>
        <sz val="11"/>
        <color theme="1"/>
        <rFont val="Calibri"/>
        <family val="2"/>
        <scheme val="minor"/>
      </rPr>
      <t xml:space="preserve"> to find discount factors.</t>
    </r>
  </si>
  <si>
    <t>Lifetime of 6 years = zero OM&amp;R</t>
  </si>
  <si>
    <t>Total Cost of Line Extension/Tie-Ins:</t>
  </si>
  <si>
    <t>Cost of line per linear foot:</t>
  </si>
  <si>
    <t>Cost per tie-in:</t>
  </si>
  <si>
    <t>Number of tie-ins:</t>
  </si>
  <si>
    <t>Number of reg stations:</t>
  </si>
  <si>
    <t>Cost per reg station:</t>
  </si>
  <si>
    <r>
      <t xml:space="preserve">UPV Factor Index </t>
    </r>
    <r>
      <rPr>
        <b/>
        <sz val="10"/>
        <color theme="1"/>
        <rFont val="Calibri"/>
        <family val="2"/>
        <scheme val="minor"/>
      </rPr>
      <t>DOE</t>
    </r>
    <r>
      <rPr>
        <sz val="10"/>
        <color theme="1"/>
        <rFont val="Calibri"/>
        <family val="2"/>
        <scheme val="minor"/>
      </rPr>
      <t xml:space="preserve"> Discount Rate </t>
    </r>
    <r>
      <rPr>
        <sz val="10"/>
        <color rgb="FFFF0000"/>
        <rFont val="Calibri"/>
        <family val="2"/>
        <scheme val="minor"/>
      </rPr>
      <t>(2019)</t>
    </r>
  </si>
  <si>
    <t>Energy Savings</t>
  </si>
  <si>
    <r>
      <t>This worksheet provides the LCCA comparison between two cases: Case A and Case B. The lifetime evalued is set at a maximum of 35 years. This worksheet is formatted to be printer-friendly, do not change this format. Only DOE projects may use this calculator (no OMB). The discount factors included for payback calcultions must be updated annually with the</t>
    </r>
    <r>
      <rPr>
        <i/>
        <sz val="9"/>
        <color theme="1"/>
        <rFont val="Calibri"/>
        <family val="2"/>
        <scheme val="minor"/>
      </rPr>
      <t xml:space="preserve"> </t>
    </r>
    <r>
      <rPr>
        <u/>
        <sz val="9"/>
        <color theme="1"/>
        <rFont val="Calibri"/>
        <family val="2"/>
        <scheme val="minor"/>
      </rPr>
      <t xml:space="preserve">Annual Supplement to Handbook 135. </t>
    </r>
  </si>
  <si>
    <r>
      <rPr>
        <i/>
        <sz val="9"/>
        <color theme="1"/>
        <rFont val="Calibri"/>
        <family val="2"/>
        <scheme val="minor"/>
      </rPr>
      <t xml:space="preserve">"Year in lifetime" </t>
    </r>
    <r>
      <rPr>
        <sz val="9"/>
        <color theme="1"/>
        <rFont val="Calibri"/>
        <family val="2"/>
        <scheme val="minor"/>
      </rPr>
      <t xml:space="preserve">refers to the year at which the cost takes place. </t>
    </r>
  </si>
  <si>
    <r>
      <rPr>
        <i/>
        <sz val="9"/>
        <color theme="1"/>
        <rFont val="Calibri"/>
        <family val="2"/>
        <scheme val="minor"/>
      </rPr>
      <t>"One-Time Other Costs"</t>
    </r>
    <r>
      <rPr>
        <sz val="9"/>
        <color theme="1"/>
        <rFont val="Calibri"/>
        <family val="2"/>
        <scheme val="minor"/>
      </rPr>
      <t xml:space="preserve"> refers to investment and operational costs that do not occur annually. For these values, the user will also list the "year in lifetime" in the corresponding input cell. Examples of these costs include replacements such as roofing, mechanical equiptment, etc.</t>
    </r>
  </si>
  <si>
    <r>
      <rPr>
        <i/>
        <sz val="9"/>
        <color theme="1"/>
        <rFont val="Calibri"/>
        <family val="2"/>
        <scheme val="minor"/>
      </rPr>
      <t>"Lower-First-Cost Option"</t>
    </r>
    <r>
      <rPr>
        <sz val="9"/>
        <color theme="1"/>
        <rFont val="Calibri"/>
        <family val="2"/>
        <scheme val="minor"/>
      </rPr>
      <t xml:space="preserve"> refers to the cost in a category belonging to the option with the lowest initial investment. </t>
    </r>
    <r>
      <rPr>
        <i/>
        <sz val="9"/>
        <color theme="1"/>
        <rFont val="Calibri"/>
        <family val="2"/>
        <scheme val="minor"/>
      </rPr>
      <t>"Higher-First-Cost Option"</t>
    </r>
    <r>
      <rPr>
        <sz val="9"/>
        <color theme="1"/>
        <rFont val="Calibri"/>
        <family val="2"/>
        <scheme val="minor"/>
      </rPr>
      <t xml:space="preserve"> refers to the cost in a category belonging to the option with the highest initial investment.</t>
    </r>
  </si>
  <si>
    <r>
      <rPr>
        <i/>
        <sz val="9"/>
        <color theme="1"/>
        <rFont val="Calibri"/>
        <family val="2"/>
        <scheme val="minor"/>
      </rPr>
      <t xml:space="preserve">Life-Cycle Costing Manual for the Federal Energy Management </t>
    </r>
    <r>
      <rPr>
        <sz val="9"/>
        <color theme="1"/>
        <rFont val="Calibri"/>
        <family val="2"/>
        <scheme val="minor"/>
      </rPr>
      <t>Program, NIST Handbook 135, 1995 Edition:</t>
    </r>
  </si>
  <si>
    <r>
      <rPr>
        <i/>
        <sz val="9"/>
        <color theme="1"/>
        <rFont val="Calibri"/>
        <family val="2"/>
        <scheme val="minor"/>
      </rPr>
      <t>Energy Price Indices and Discount Factors LCCA 2019, Annual Supplement to Handbook 135</t>
    </r>
    <r>
      <rPr>
        <sz val="9"/>
        <color theme="1"/>
        <rFont val="Calibri"/>
        <family val="2"/>
        <scheme val="minor"/>
      </rPr>
      <t xml:space="preserve">: </t>
    </r>
  </si>
  <si>
    <r>
      <t xml:space="preserve">Utilities &amp; Infrastructure Facility Operations, Los Alamos National Laboratory.                                                                                      </t>
    </r>
    <r>
      <rPr>
        <i/>
        <sz val="9"/>
        <color theme="1"/>
        <rFont val="Calibri"/>
        <family val="2"/>
        <scheme val="minor"/>
      </rPr>
      <t>Author: Matney Juntunen</t>
    </r>
  </si>
  <si>
    <t xml:space="preserve">Instructions: </t>
  </si>
  <si>
    <t>TOPIC</t>
  </si>
  <si>
    <t>All Materials:</t>
  </si>
  <si>
    <t>All labor:</t>
  </si>
  <si>
    <t>TAB:</t>
  </si>
  <si>
    <t>BAS Controls:</t>
  </si>
  <si>
    <t>Safety:</t>
  </si>
  <si>
    <t>Inspections:</t>
  </si>
  <si>
    <t>Building Outage:</t>
  </si>
  <si>
    <t>Parking Lot:</t>
  </si>
  <si>
    <t>Water Drainage:</t>
  </si>
  <si>
    <t>Other Contruction Costs:</t>
  </si>
  <si>
    <t>Case A Initial Investment:</t>
  </si>
  <si>
    <t>Gas Extension Calulations:</t>
  </si>
  <si>
    <t>Includes cost of construction, quoted 7/22/19</t>
  </si>
  <si>
    <t>Initial Investment Calculator:</t>
  </si>
  <si>
    <r>
      <t xml:space="preserve">Fill in the following values if applicable to the project. The initial investment should include all costs which allow the project to begin its lifetime. </t>
    </r>
    <r>
      <rPr>
        <b/>
        <sz val="9"/>
        <color theme="1"/>
        <rFont val="Calibri"/>
        <family val="2"/>
        <scheme val="minor"/>
      </rPr>
      <t>Note: Costs are in Thousands.</t>
    </r>
  </si>
  <si>
    <t>Name and describe base case and alternatives to be analyzed. Include any relevent assumptions:</t>
  </si>
  <si>
    <t>Name and describe base case (lower initial investment) and alternatives to be analyzed. Include any relevent assumptions:</t>
  </si>
  <si>
    <r>
      <t xml:space="preserve">CASH FLOWS (IN THOUSANDS) FOR </t>
    </r>
    <r>
      <rPr>
        <b/>
        <sz val="11"/>
        <color rgb="FFFF0000"/>
        <rFont val="Calibri"/>
        <family val="2"/>
        <scheme val="minor"/>
      </rPr>
      <t>CASE B</t>
    </r>
  </si>
  <si>
    <r>
      <t xml:space="preserve">CASH FLOWS (IN THOUSANDS) FOR </t>
    </r>
    <r>
      <rPr>
        <b/>
        <sz val="11"/>
        <color rgb="FFFF0000"/>
        <rFont val="Calibri"/>
        <family val="2"/>
        <scheme val="minor"/>
      </rPr>
      <t>CASE A</t>
    </r>
  </si>
  <si>
    <t>Nat Gas</t>
  </si>
  <si>
    <t>Column11</t>
  </si>
  <si>
    <r>
      <t xml:space="preserve">Case A Cost: </t>
    </r>
    <r>
      <rPr>
        <sz val="11"/>
        <rFont val="Calibri"/>
        <family val="2"/>
        <scheme val="minor"/>
      </rPr>
      <t>(in Thousands)</t>
    </r>
  </si>
  <si>
    <r>
      <t xml:space="preserve">Case B Cost: </t>
    </r>
    <r>
      <rPr>
        <sz val="11"/>
        <rFont val="Calibri"/>
        <family val="2"/>
        <scheme val="minor"/>
      </rPr>
      <t>(in Thousands)</t>
    </r>
  </si>
  <si>
    <t>Gasline and Water Calculations:</t>
  </si>
  <si>
    <r>
      <t xml:space="preserve">Data for Graphs - </t>
    </r>
    <r>
      <rPr>
        <b/>
        <sz val="9"/>
        <color rgb="FFFF0000"/>
        <rFont val="Calibri"/>
        <family val="2"/>
        <scheme val="minor"/>
      </rPr>
      <t>Case B</t>
    </r>
  </si>
  <si>
    <r>
      <t xml:space="preserve">Total </t>
    </r>
    <r>
      <rPr>
        <sz val="16"/>
        <color rgb="FFFF0000"/>
        <rFont val="Calibri"/>
        <family val="2"/>
        <scheme val="minor"/>
      </rPr>
      <t>Case B</t>
    </r>
    <r>
      <rPr>
        <sz val="16"/>
        <color theme="1"/>
        <rFont val="Calibri"/>
        <family val="2"/>
        <scheme val="minor"/>
      </rPr>
      <t xml:space="preserve"> Present Value Life Cycle Costs:</t>
    </r>
  </si>
  <si>
    <r>
      <t xml:space="preserve">Total </t>
    </r>
    <r>
      <rPr>
        <sz val="16"/>
        <color rgb="FFFF0000"/>
        <rFont val="Calibri"/>
        <family val="2"/>
        <scheme val="minor"/>
      </rPr>
      <t xml:space="preserve">Case A </t>
    </r>
    <r>
      <rPr>
        <sz val="16"/>
        <color theme="1"/>
        <rFont val="Calibri"/>
        <family val="2"/>
        <scheme val="minor"/>
      </rPr>
      <t>Present Value Life Cycle Costs:</t>
    </r>
  </si>
  <si>
    <r>
      <t xml:space="preserve">Total </t>
    </r>
    <r>
      <rPr>
        <b/>
        <u/>
        <sz val="11"/>
        <color theme="1"/>
        <rFont val="Calibri"/>
        <family val="2"/>
        <scheme val="minor"/>
      </rPr>
      <t>Case A</t>
    </r>
    <r>
      <rPr>
        <b/>
        <sz val="11"/>
        <color theme="1"/>
        <rFont val="Calibri"/>
        <family val="2"/>
        <scheme val="minor"/>
      </rPr>
      <t xml:space="preserve"> Present Value Life Cycle Costs:</t>
    </r>
  </si>
  <si>
    <r>
      <t xml:space="preserve">Total </t>
    </r>
    <r>
      <rPr>
        <b/>
        <u/>
        <sz val="11"/>
        <color theme="1"/>
        <rFont val="Calibri"/>
        <family val="2"/>
        <scheme val="minor"/>
      </rPr>
      <t xml:space="preserve">Case B </t>
    </r>
    <r>
      <rPr>
        <b/>
        <sz val="11"/>
        <color theme="1"/>
        <rFont val="Calibri"/>
        <family val="2"/>
        <scheme val="minor"/>
      </rPr>
      <t>Present Value Life Cycle Costs:</t>
    </r>
  </si>
  <si>
    <r>
      <rPr>
        <sz val="11"/>
        <color rgb="FFFF0000"/>
        <rFont val="Calibri"/>
        <family val="2"/>
        <scheme val="minor"/>
      </rPr>
      <t>CASE A</t>
    </r>
    <r>
      <rPr>
        <sz val="11"/>
        <color theme="1"/>
        <rFont val="Calibri"/>
        <family val="2"/>
        <scheme val="minor"/>
      </rPr>
      <t xml:space="preserve"> INITIAL INVESTMENT:</t>
    </r>
  </si>
  <si>
    <r>
      <rPr>
        <sz val="11"/>
        <color rgb="FFFF0000"/>
        <rFont val="Calibri"/>
        <family val="2"/>
        <scheme val="minor"/>
      </rPr>
      <t>CASE B</t>
    </r>
    <r>
      <rPr>
        <sz val="11"/>
        <color theme="1"/>
        <rFont val="Calibri"/>
        <family val="2"/>
        <scheme val="minor"/>
      </rPr>
      <t xml:space="preserve"> INITIAL INVESTMENT:</t>
    </r>
  </si>
  <si>
    <t>Cash Flows Last Updated 7/23/2017</t>
  </si>
  <si>
    <t>Specify Case A Operation-Related Costs: (in Thousands)</t>
  </si>
  <si>
    <t>Specify Case B Operation-Related Costs: (in Thousands)</t>
  </si>
  <si>
    <t>Specify Case A Investment-Related Costs: (in Thousands)</t>
  </si>
  <si>
    <t>Specify Case B Investment-Related Costs: (in Thousands)</t>
  </si>
  <si>
    <t>Natural 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</si>
</sst>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4" formatCode="_(&quot;$&quot;* #,##0.00_);_(&quot;$&quot;* \(#,##0.00\);_(&quot;$&quot;* &quot;-&quot;??_);_(@_)"/>
    <numFmt numFmtId="164" formatCode="_([$$-409]* #,##0.00_);_([$$-409]* \(#,##0.00\);_([$$-409]* &quot;-&quot;??_);_(@_)"/>
    <numFmt numFmtId="165" formatCode="_(&quot;$&quot;* #,##0.000_);_(&quot;$&quot;* \(#,##0.000\);_(&quot;$&quot;* &quot;-&quot;??_);_(@_)"/>
    <numFmt numFmtId="166" formatCode="_(&quot;$&quot;* #,##0.00000000_);_(&quot;$&quot;* \(#,##0.00000000\);_(&quot;$&quot;* &quot;-&quot;??_);_(@_)"/>
    <numFmt numFmtId="167" formatCode="_([$$-409]* #,##0.00000000_);_([$$-409]* \(#,##0.00000000\);_([$$-409]* &quot;-&quot;??_);_(@_)"/>
    <numFmt numFmtId="168" formatCode="0.0000"/>
    <numFmt numFmtId="169" formatCode="0.000"/>
    <numFmt numFmtId="170" formatCode="00000"/>
    <numFmt numFmtId="171" formatCode="_([$$-409]* #,##0.00000_);_([$$-409]* \(#,##0.00000\);_([$$-409]* &quot;-&quot;??_);_(@_)"/>
    <numFmt numFmtId="172" formatCode="_(&quot;$&quot;* #,##0.0000_);_(&quot;$&quot;* \(#,##0.0000\);_(&quot;$&quot;* &quot;-&quot;??_);_(@_)"/>
  </numFmts>
  <fonts count="36"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b/>
      <sz val="11"/>
      <color theme="6" tint="-0.249977111117893"/>
      <name val="Calibri"/>
      <family val="2"/>
      <scheme val="minor"/>
    </font>
    <font>
      <sz val="11"/>
      <color theme="6" tint="-0.249977111117893"/>
      <name val="Calibri"/>
      <family val="2"/>
      <scheme val="minor"/>
    </font>
    <font>
      <b/>
      <sz val="16"/>
      <color theme="1"/>
      <name val="Calibri"/>
      <family val="2"/>
      <scheme val="minor"/>
    </font>
    <font>
      <sz val="16"/>
      <color theme="1"/>
      <name val="Calibri"/>
      <family val="2"/>
      <scheme val="minor"/>
    </font>
    <font>
      <sz val="11"/>
      <color rgb="FFFF0000"/>
      <name val="Calibri"/>
      <family val="2"/>
      <scheme val="minor"/>
    </font>
    <font>
      <sz val="10"/>
      <color theme="1"/>
      <name val="Calibri"/>
      <family val="2"/>
      <scheme val="minor"/>
    </font>
    <font>
      <i/>
      <sz val="11"/>
      <color theme="1"/>
      <name val="Calibri"/>
      <family val="2"/>
      <scheme val="minor"/>
    </font>
    <font>
      <u/>
      <sz val="11"/>
      <color theme="10"/>
      <name val="Calibri"/>
      <family val="2"/>
      <scheme val="minor"/>
    </font>
    <font>
      <sz val="8"/>
      <color theme="1"/>
      <name val="Calibri"/>
      <family val="2"/>
      <scheme val="minor"/>
    </font>
    <font>
      <u/>
      <sz val="10"/>
      <color theme="1"/>
      <name val="Calibri"/>
      <family val="2"/>
      <scheme val="minor"/>
    </font>
    <font>
      <sz val="10"/>
      <color rgb="FFFF0000"/>
      <name val="Calibri"/>
      <family val="2"/>
      <scheme val="minor"/>
    </font>
    <font>
      <sz val="18"/>
      <color theme="1"/>
      <name val="Calibri"/>
      <family val="2"/>
      <scheme val="minor"/>
    </font>
    <font>
      <b/>
      <sz val="9"/>
      <color theme="1"/>
      <name val="Calibri"/>
      <family val="2"/>
      <scheme val="minor"/>
    </font>
    <font>
      <sz val="9"/>
      <color theme="1"/>
      <name val="Calibri"/>
      <family val="2"/>
      <scheme val="minor"/>
    </font>
    <font>
      <b/>
      <sz val="9"/>
      <color theme="6" tint="-0.249977111117893"/>
      <name val="Calibri"/>
      <family val="2"/>
      <scheme val="minor"/>
    </font>
    <font>
      <b/>
      <sz val="9"/>
      <color rgb="FFFF0000"/>
      <name val="Calibri"/>
      <family val="2"/>
      <scheme val="minor"/>
    </font>
    <font>
      <sz val="9"/>
      <color theme="6" tint="-0.249977111117893"/>
      <name val="Calibri"/>
      <family val="2"/>
      <scheme val="minor"/>
    </font>
    <font>
      <sz val="11"/>
      <name val="Calibri"/>
      <family val="2"/>
      <scheme val="minor"/>
    </font>
    <font>
      <b/>
      <sz val="11"/>
      <name val="Calibri"/>
      <family val="2"/>
      <scheme val="minor"/>
    </font>
    <font>
      <b/>
      <sz val="18"/>
      <color theme="1"/>
      <name val="Calibri"/>
      <family val="2"/>
      <scheme val="minor"/>
    </font>
    <font>
      <u/>
      <sz val="9"/>
      <color theme="1"/>
      <name val="Calibri"/>
      <family val="2"/>
      <scheme val="minor"/>
    </font>
    <font>
      <u/>
      <sz val="16"/>
      <color theme="1"/>
      <name val="Calibri"/>
      <family val="2"/>
      <scheme val="minor"/>
    </font>
    <font>
      <sz val="11"/>
      <color theme="0" tint="-0.499984740745262"/>
      <name val="Calibri"/>
      <family val="2"/>
      <scheme val="minor"/>
    </font>
    <font>
      <b/>
      <sz val="10"/>
      <color theme="1"/>
      <name val="Calibri"/>
      <family val="2"/>
      <scheme val="minor"/>
    </font>
    <font>
      <b/>
      <sz val="11"/>
      <color theme="0" tint="-0.499984740745262"/>
      <name val="Calibri"/>
      <family val="2"/>
      <scheme val="minor"/>
    </font>
    <font>
      <sz val="16"/>
      <color rgb="FFFF0000"/>
      <name val="Calibri"/>
      <family val="2"/>
      <scheme val="minor"/>
    </font>
    <font>
      <b/>
      <sz val="11"/>
      <color rgb="FFFF0000"/>
      <name val="Calibri"/>
      <family val="2"/>
      <scheme val="minor"/>
    </font>
    <font>
      <i/>
      <sz val="9"/>
      <color theme="1"/>
      <name val="Calibri"/>
      <family val="2"/>
      <scheme val="minor"/>
    </font>
    <font>
      <u/>
      <sz val="9"/>
      <color theme="10"/>
      <name val="Calibri"/>
      <family val="2"/>
      <scheme val="minor"/>
    </font>
    <font>
      <sz val="9"/>
      <color theme="6" tint="-0.249977111117893"/>
      <name val="Calibri"/>
      <family val="2"/>
      <scheme val="minor"/>
    </font>
    <font>
      <sz val="11"/>
      <color theme="6" tint="-0.249977111117893"/>
      <name val="Calibri"/>
      <family val="2"/>
      <scheme val="minor"/>
    </font>
    <font>
      <b/>
      <u/>
      <sz val="11"/>
      <color theme="1"/>
      <name val="Calibri"/>
      <family val="2"/>
      <scheme val="minor"/>
    </font>
  </fonts>
  <fills count="9">
    <fill>
      <patternFill patternType="none"/>
    </fill>
    <fill>
      <patternFill patternType="gray125"/>
    </fill>
    <fill>
      <patternFill patternType="solid">
        <fgColor rgb="FFFFFFC5"/>
        <bgColor indexed="64"/>
      </patternFill>
    </fill>
    <fill>
      <patternFill patternType="solid">
        <fgColor rgb="FFFFFFE5"/>
        <bgColor indexed="64"/>
      </patternFill>
    </fill>
    <fill>
      <patternFill patternType="solid">
        <fgColor theme="6" tint="0.79998168889431442"/>
        <bgColor theme="6" tint="0.79998168889431442"/>
      </patternFill>
    </fill>
    <fill>
      <patternFill patternType="solid">
        <fgColor theme="9"/>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11" fillId="0" borderId="0" applyNumberFormat="0" applyFill="0" applyBorder="0" applyAlignment="0" applyProtection="0"/>
  </cellStyleXfs>
  <cellXfs count="448">
    <xf numFmtId="0" fontId="0" fillId="0" borderId="0" xfId="0"/>
    <xf numFmtId="0" fontId="0" fillId="0" borderId="0" xfId="0" applyAlignment="1">
      <alignment horizontal="left"/>
    </xf>
    <xf numFmtId="0" fontId="0" fillId="0" borderId="0" xfId="0" applyAlignment="1">
      <alignment horizontal="left" wrapText="1"/>
    </xf>
    <xf numFmtId="0" fontId="0" fillId="2" borderId="1" xfId="0" applyFill="1" applyBorder="1" applyAlignment="1">
      <alignment horizontal="left"/>
    </xf>
    <xf numFmtId="0" fontId="0" fillId="2" borderId="1" xfId="0" applyFill="1" applyBorder="1"/>
    <xf numFmtId="0" fontId="2" fillId="0" borderId="0" xfId="0" applyFont="1"/>
    <xf numFmtId="0" fontId="3" fillId="0" borderId="0" xfId="0" applyFont="1"/>
    <xf numFmtId="164" fontId="0" fillId="2" borderId="1" xfId="1" applyNumberFormat="1" applyFont="1" applyFill="1" applyBorder="1"/>
    <xf numFmtId="0" fontId="0" fillId="3" borderId="1" xfId="0" applyFill="1" applyBorder="1"/>
    <xf numFmtId="14" fontId="0" fillId="2" borderId="1" xfId="0" applyNumberFormat="1" applyFill="1" applyBorder="1"/>
    <xf numFmtId="14" fontId="0" fillId="0" borderId="0" xfId="0" applyNumberFormat="1"/>
    <xf numFmtId="0" fontId="3" fillId="0" borderId="17" xfId="0" applyFont="1" applyBorder="1"/>
    <xf numFmtId="0" fontId="0" fillId="0" borderId="18" xfId="0" applyBorder="1"/>
    <xf numFmtId="0" fontId="0" fillId="0" borderId="0" xfId="0" applyBorder="1"/>
    <xf numFmtId="0" fontId="0" fillId="0" borderId="19" xfId="0" applyBorder="1"/>
    <xf numFmtId="0" fontId="3" fillId="0" borderId="19" xfId="0" applyFont="1" applyBorder="1"/>
    <xf numFmtId="0" fontId="0" fillId="0" borderId="18" xfId="0" applyBorder="1" applyAlignment="1"/>
    <xf numFmtId="0" fontId="0" fillId="0" borderId="0" xfId="0" applyFont="1" applyBorder="1" applyAlignment="1">
      <alignment vertical="center"/>
    </xf>
    <xf numFmtId="0" fontId="0" fillId="3" borderId="20" xfId="0" applyFill="1" applyBorder="1"/>
    <xf numFmtId="0" fontId="0" fillId="0" borderId="22" xfId="0" applyBorder="1"/>
    <xf numFmtId="0" fontId="0" fillId="0" borderId="23" xfId="0" applyBorder="1"/>
    <xf numFmtId="0" fontId="0" fillId="0" borderId="24" xfId="0" applyBorder="1"/>
    <xf numFmtId="0" fontId="0" fillId="0" borderId="21" xfId="0" applyBorder="1" applyAlignment="1">
      <alignment vertical="top" wrapText="1"/>
    </xf>
    <xf numFmtId="0" fontId="0" fillId="0" borderId="18" xfId="0" applyFill="1" applyBorder="1"/>
    <xf numFmtId="44" fontId="0" fillId="2" borderId="1" xfId="1" applyFont="1" applyFill="1" applyBorder="1"/>
    <xf numFmtId="0" fontId="5" fillId="0" borderId="0" xfId="0" applyFont="1" applyFill="1"/>
    <xf numFmtId="164" fontId="5" fillId="0" borderId="0" xfId="0" applyNumberFormat="1" applyFont="1" applyFill="1"/>
    <xf numFmtId="44" fontId="0" fillId="0" borderId="23" xfId="1" applyFont="1" applyBorder="1"/>
    <xf numFmtId="0" fontId="4" fillId="4" borderId="0" xfId="0" applyFont="1" applyFill="1" applyBorder="1" applyAlignment="1">
      <alignment horizontal="left"/>
    </xf>
    <xf numFmtId="0" fontId="5" fillId="4" borderId="0" xfId="0" applyFont="1" applyFill="1" applyBorder="1" applyAlignment="1">
      <alignment horizontal="left"/>
    </xf>
    <xf numFmtId="0" fontId="0" fillId="0" borderId="16" xfId="0" applyBorder="1"/>
    <xf numFmtId="44" fontId="0" fillId="0" borderId="0" xfId="0" applyNumberFormat="1" applyBorder="1"/>
    <xf numFmtId="0" fontId="0" fillId="0" borderId="28" xfId="0" applyBorder="1"/>
    <xf numFmtId="0" fontId="0" fillId="3" borderId="25" xfId="0" applyFont="1" applyFill="1" applyBorder="1"/>
    <xf numFmtId="0" fontId="0" fillId="0" borderId="15" xfId="0" applyBorder="1"/>
    <xf numFmtId="0" fontId="0" fillId="0" borderId="12" xfId="0" applyBorder="1"/>
    <xf numFmtId="0" fontId="0" fillId="0" borderId="17" xfId="0" applyBorder="1"/>
    <xf numFmtId="0" fontId="0" fillId="0" borderId="0" xfId="0" applyAlignment="1">
      <alignment wrapText="1"/>
    </xf>
    <xf numFmtId="0" fontId="0" fillId="0" borderId="0" xfId="0" applyAlignment="1">
      <alignment vertical="top" wrapText="1"/>
    </xf>
    <xf numFmtId="44" fontId="0" fillId="0" borderId="0" xfId="1" applyFont="1"/>
    <xf numFmtId="44" fontId="0" fillId="0" borderId="16" xfId="1" applyFont="1" applyBorder="1"/>
    <xf numFmtId="44" fontId="0" fillId="0" borderId="0" xfId="1" applyFont="1" applyBorder="1"/>
    <xf numFmtId="44" fontId="0" fillId="0" borderId="19" xfId="0" applyNumberFormat="1" applyBorder="1"/>
    <xf numFmtId="44" fontId="0" fillId="0" borderId="24" xfId="0" applyNumberFormat="1" applyBorder="1"/>
    <xf numFmtId="0" fontId="0" fillId="0" borderId="0" xfId="0" applyBorder="1" applyAlignment="1">
      <alignment vertical="top" wrapText="1"/>
    </xf>
    <xf numFmtId="44" fontId="0" fillId="0" borderId="0" xfId="1" applyFont="1" applyFill="1" applyBorder="1"/>
    <xf numFmtId="0" fontId="0" fillId="0" borderId="15" xfId="0" applyBorder="1" applyAlignment="1"/>
    <xf numFmtId="0" fontId="0" fillId="0" borderId="16" xfId="0" applyBorder="1" applyAlignment="1"/>
    <xf numFmtId="0" fontId="0" fillId="0" borderId="11" xfId="0" applyBorder="1"/>
    <xf numFmtId="44" fontId="0" fillId="0" borderId="12" xfId="1" applyFont="1" applyBorder="1"/>
    <xf numFmtId="0" fontId="0" fillId="0" borderId="11" xfId="0" applyBorder="1" applyAlignment="1"/>
    <xf numFmtId="44" fontId="0" fillId="0" borderId="30" xfId="0" applyNumberFormat="1" applyBorder="1"/>
    <xf numFmtId="0" fontId="0" fillId="0" borderId="31" xfId="0" applyBorder="1" applyAlignment="1"/>
    <xf numFmtId="0" fontId="0" fillId="0" borderId="32" xfId="0" applyBorder="1"/>
    <xf numFmtId="44" fontId="2" fillId="0" borderId="19" xfId="0" applyNumberFormat="1" applyFont="1" applyBorder="1"/>
    <xf numFmtId="44" fontId="0" fillId="0" borderId="19" xfId="1" applyFont="1" applyBorder="1"/>
    <xf numFmtId="0" fontId="0" fillId="0" borderId="0" xfId="0" applyBorder="1" applyAlignment="1">
      <alignment horizontal="center" wrapText="1"/>
    </xf>
    <xf numFmtId="0" fontId="2" fillId="0" borderId="23" xfId="0" applyFont="1" applyBorder="1" applyAlignment="1">
      <alignment horizontal="center" vertical="top" wrapText="1"/>
    </xf>
    <xf numFmtId="44" fontId="2" fillId="0" borderId="0" xfId="0" applyNumberFormat="1" applyFont="1" applyBorder="1"/>
    <xf numFmtId="0" fontId="0" fillId="0" borderId="0" xfId="0" applyFill="1" applyBorder="1"/>
    <xf numFmtId="0" fontId="8" fillId="0" borderId="0" xfId="0" applyFont="1" applyBorder="1"/>
    <xf numFmtId="0" fontId="0" fillId="0" borderId="0" xfId="0" applyBorder="1" applyAlignment="1">
      <alignment wrapText="1"/>
    </xf>
    <xf numFmtId="0" fontId="0" fillId="0" borderId="19" xfId="0" applyBorder="1" applyAlignment="1">
      <alignment wrapText="1"/>
    </xf>
    <xf numFmtId="0" fontId="0" fillId="0" borderId="23" xfId="0" applyBorder="1" applyAlignment="1">
      <alignment wrapText="1"/>
    </xf>
    <xf numFmtId="0" fontId="0" fillId="0" borderId="24" xfId="0" applyBorder="1" applyAlignment="1">
      <alignment wrapText="1"/>
    </xf>
    <xf numFmtId="0" fontId="0" fillId="0" borderId="0" xfId="0" applyAlignment="1"/>
    <xf numFmtId="165" fontId="0" fillId="0" borderId="0" xfId="1" applyNumberFormat="1" applyFont="1"/>
    <xf numFmtId="165" fontId="0" fillId="0" borderId="0" xfId="0" applyNumberFormat="1"/>
    <xf numFmtId="0" fontId="8" fillId="0" borderId="0" xfId="0" applyFont="1" applyBorder="1" applyAlignment="1">
      <alignment vertical="top" wrapText="1"/>
    </xf>
    <xf numFmtId="0" fontId="2" fillId="0" borderId="18" xfId="0" applyFont="1" applyBorder="1"/>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xf>
    <xf numFmtId="0" fontId="9" fillId="0" borderId="19" xfId="0" applyFont="1" applyBorder="1" applyAlignment="1">
      <alignment vertical="center" wrapText="1"/>
    </xf>
    <xf numFmtId="0" fontId="0" fillId="0" borderId="0" xfId="0" applyAlignment="1">
      <alignment horizontal="left" vertical="top" wrapText="1"/>
    </xf>
    <xf numFmtId="0" fontId="16" fillId="0" borderId="26" xfId="0" applyFont="1" applyBorder="1" applyAlignment="1">
      <alignment horizontal="left"/>
    </xf>
    <xf numFmtId="0" fontId="16" fillId="0" borderId="27" xfId="0" applyFont="1" applyBorder="1" applyAlignment="1">
      <alignment horizontal="left"/>
    </xf>
    <xf numFmtId="0" fontId="17" fillId="0" borderId="27" xfId="0" applyFont="1" applyBorder="1"/>
    <xf numFmtId="0" fontId="16" fillId="0" borderId="15" xfId="0" applyFont="1" applyBorder="1" applyAlignment="1">
      <alignment horizontal="left"/>
    </xf>
    <xf numFmtId="0" fontId="16" fillId="0" borderId="16" xfId="0" applyFont="1" applyBorder="1" applyAlignment="1">
      <alignment horizontal="left"/>
    </xf>
    <xf numFmtId="0" fontId="17" fillId="0" borderId="16" xfId="0" applyFont="1" applyBorder="1" applyAlignment="1">
      <alignment horizontal="left"/>
    </xf>
    <xf numFmtId="0" fontId="17" fillId="0" borderId="17" xfId="0" applyFont="1" applyBorder="1" applyAlignment="1">
      <alignment horizontal="left"/>
    </xf>
    <xf numFmtId="0" fontId="17" fillId="0" borderId="18" xfId="0" applyFont="1" applyBorder="1"/>
    <xf numFmtId="0" fontId="17" fillId="0" borderId="0" xfId="0" applyFont="1" applyBorder="1"/>
    <xf numFmtId="0" fontId="17" fillId="0" borderId="19" xfId="0" applyFont="1" applyBorder="1"/>
    <xf numFmtId="164" fontId="17" fillId="0" borderId="0" xfId="0" applyNumberFormat="1" applyFont="1" applyBorder="1"/>
    <xf numFmtId="164" fontId="17" fillId="0" borderId="19" xfId="0" applyNumberFormat="1" applyFont="1" applyBorder="1"/>
    <xf numFmtId="0" fontId="17" fillId="0" borderId="22" xfId="0" applyFont="1" applyBorder="1"/>
    <xf numFmtId="0" fontId="17" fillId="0" borderId="23" xfId="0" applyFont="1" applyBorder="1"/>
    <xf numFmtId="0" fontId="18" fillId="4" borderId="16" xfId="0" applyFont="1" applyFill="1" applyBorder="1" applyAlignment="1">
      <alignment horizontal="left"/>
    </xf>
    <xf numFmtId="0" fontId="20" fillId="4" borderId="16" xfId="0" applyFont="1" applyFill="1" applyBorder="1" applyAlignment="1">
      <alignment horizontal="left"/>
    </xf>
    <xf numFmtId="0" fontId="20" fillId="4" borderId="17" xfId="0" applyFont="1" applyFill="1" applyBorder="1" applyAlignment="1">
      <alignment horizontal="left"/>
    </xf>
    <xf numFmtId="0" fontId="20" fillId="0" borderId="0" xfId="0" applyFont="1" applyBorder="1"/>
    <xf numFmtId="0" fontId="20" fillId="0" borderId="19" xfId="0" applyFont="1" applyBorder="1"/>
    <xf numFmtId="0" fontId="20" fillId="4" borderId="0" xfId="0" applyFont="1" applyFill="1" applyBorder="1"/>
    <xf numFmtId="0" fontId="20" fillId="4" borderId="19" xfId="0" applyFont="1" applyFill="1" applyBorder="1"/>
    <xf numFmtId="164" fontId="20" fillId="0" borderId="0" xfId="0" applyNumberFormat="1" applyFont="1" applyBorder="1"/>
    <xf numFmtId="164" fontId="20" fillId="4" borderId="0" xfId="0" applyNumberFormat="1" applyFont="1" applyFill="1" applyBorder="1"/>
    <xf numFmtId="164" fontId="20" fillId="4" borderId="19" xfId="0" applyNumberFormat="1" applyFont="1" applyFill="1" applyBorder="1"/>
    <xf numFmtId="0" fontId="0" fillId="0" borderId="0" xfId="0" applyFill="1"/>
    <xf numFmtId="0" fontId="0" fillId="0" borderId="0" xfId="0" applyFont="1" applyBorder="1" applyAlignment="1">
      <alignment horizontal="right" vertical="center"/>
    </xf>
    <xf numFmtId="164" fontId="0" fillId="0" borderId="0" xfId="1" applyNumberFormat="1" applyFont="1" applyFill="1" applyBorder="1"/>
    <xf numFmtId="0" fontId="0" fillId="0" borderId="19" xfId="0" applyBorder="1" applyAlignment="1">
      <alignment vertical="top" wrapText="1"/>
    </xf>
    <xf numFmtId="164" fontId="0" fillId="0" borderId="0" xfId="1" applyNumberFormat="1" applyFont="1" applyFill="1" applyBorder="1" applyAlignment="1"/>
    <xf numFmtId="0" fontId="9" fillId="0" borderId="18" xfId="0" applyFont="1" applyBorder="1" applyAlignment="1">
      <alignment horizontal="left"/>
    </xf>
    <xf numFmtId="44" fontId="9" fillId="0" borderId="0" xfId="1" applyFont="1" applyBorder="1" applyAlignment="1">
      <alignment horizontal="left"/>
    </xf>
    <xf numFmtId="0" fontId="0" fillId="0" borderId="19" xfId="0" applyBorder="1" applyAlignment="1">
      <alignment horizontal="left" vertical="top" wrapText="1"/>
    </xf>
    <xf numFmtId="0" fontId="9" fillId="0" borderId="24" xfId="0" applyFont="1" applyBorder="1"/>
    <xf numFmtId="0" fontId="9" fillId="0" borderId="18" xfId="0" applyFont="1" applyBorder="1" applyAlignment="1">
      <alignment wrapText="1"/>
    </xf>
    <xf numFmtId="0" fontId="9" fillId="2" borderId="1" xfId="1" applyNumberFormat="1" applyFont="1" applyFill="1" applyBorder="1" applyAlignment="1">
      <alignment horizontal="left"/>
    </xf>
    <xf numFmtId="0" fontId="2" fillId="0" borderId="0" xfId="0" applyFont="1" applyAlignment="1">
      <alignment horizontal="left"/>
    </xf>
    <xf numFmtId="166" fontId="9" fillId="0" borderId="0" xfId="1" applyNumberFormat="1" applyFont="1" applyFill="1" applyBorder="1" applyAlignment="1">
      <alignment horizontal="left"/>
    </xf>
    <xf numFmtId="167" fontId="0" fillId="0" borderId="0" xfId="1" applyNumberFormat="1" applyFont="1" applyFill="1" applyBorder="1"/>
    <xf numFmtId="165" fontId="0" fillId="0" borderId="0" xfId="1" applyNumberFormat="1" applyFont="1" applyBorder="1"/>
    <xf numFmtId="0" fontId="0" fillId="0" borderId="0" xfId="0" applyFont="1"/>
    <xf numFmtId="0" fontId="0" fillId="0" borderId="23" xfId="0" applyBorder="1" applyAlignment="1">
      <alignment vertical="top" wrapText="1"/>
    </xf>
    <xf numFmtId="0" fontId="0" fillId="0" borderId="23" xfId="0" applyFill="1" applyBorder="1"/>
    <xf numFmtId="0" fontId="15" fillId="0" borderId="0" xfId="0" applyFont="1"/>
    <xf numFmtId="0" fontId="0" fillId="0" borderId="1" xfId="0" applyBorder="1"/>
    <xf numFmtId="0" fontId="0" fillId="0" borderId="17" xfId="0" applyBorder="1" applyAlignment="1"/>
    <xf numFmtId="0" fontId="0" fillId="0" borderId="0" xfId="0" applyBorder="1" applyAlignment="1"/>
    <xf numFmtId="0" fontId="0" fillId="0" borderId="19" xfId="0" applyBorder="1" applyAlignment="1"/>
    <xf numFmtId="0" fontId="0" fillId="0" borderId="22" xfId="0" applyBorder="1" applyAlignment="1"/>
    <xf numFmtId="0" fontId="0" fillId="0" borderId="23" xfId="0" applyBorder="1" applyAlignment="1"/>
    <xf numFmtId="164" fontId="0" fillId="2" borderId="1" xfId="1" applyNumberFormat="1" applyFont="1" applyFill="1" applyBorder="1" applyAlignment="1"/>
    <xf numFmtId="0" fontId="0" fillId="0" borderId="18" xfId="0" applyFill="1" applyBorder="1" applyAlignment="1"/>
    <xf numFmtId="167" fontId="0" fillId="0" borderId="11" xfId="1" applyNumberFormat="1" applyFont="1" applyFill="1" applyBorder="1" applyAlignment="1"/>
    <xf numFmtId="44" fontId="0" fillId="2" borderId="1" xfId="1" applyFont="1" applyFill="1" applyBorder="1" applyAlignment="1"/>
    <xf numFmtId="44" fontId="17" fillId="0" borderId="0" xfId="0" applyNumberFormat="1" applyFont="1" applyBorder="1" applyAlignment="1">
      <alignment horizontal="left"/>
    </xf>
    <xf numFmtId="44" fontId="17" fillId="0" borderId="0" xfId="0" applyNumberFormat="1" applyFont="1" applyBorder="1" applyAlignment="1"/>
    <xf numFmtId="0" fontId="24" fillId="0" borderId="19" xfId="0" applyFont="1" applyBorder="1"/>
    <xf numFmtId="0" fontId="17" fillId="0" borderId="19" xfId="0" applyFont="1" applyBorder="1" applyAlignment="1">
      <alignment vertical="top" wrapText="1"/>
    </xf>
    <xf numFmtId="0" fontId="24" fillId="0" borderId="19" xfId="0" applyFont="1" applyBorder="1" applyAlignment="1"/>
    <xf numFmtId="0" fontId="17" fillId="0" borderId="19" xfId="0" applyFont="1" applyBorder="1" applyAlignment="1"/>
    <xf numFmtId="0" fontId="17" fillId="0" borderId="19" xfId="0" applyFont="1" applyBorder="1" applyAlignment="1">
      <alignment horizontal="left" vertical="top"/>
    </xf>
    <xf numFmtId="0" fontId="17" fillId="0" borderId="24" xfId="0" applyFont="1" applyBorder="1" applyAlignment="1"/>
    <xf numFmtId="0" fontId="0" fillId="0" borderId="1" xfId="0" applyFill="1" applyBorder="1" applyAlignment="1">
      <alignment horizontal="left"/>
    </xf>
    <xf numFmtId="14" fontId="0" fillId="0" borderId="1" xfId="0" applyNumberFormat="1" applyFill="1" applyBorder="1" applyAlignment="1">
      <alignment horizontal="left"/>
    </xf>
    <xf numFmtId="0" fontId="3" fillId="0" borderId="0" xfId="0" applyFont="1" applyFill="1"/>
    <xf numFmtId="0" fontId="2" fillId="0" borderId="0" xfId="0" applyFont="1" applyAlignment="1">
      <alignment horizontal="left" wrapText="1"/>
    </xf>
    <xf numFmtId="0" fontId="0" fillId="0" borderId="0" xfId="0" applyFill="1" applyAlignment="1">
      <alignment horizontal="left"/>
    </xf>
    <xf numFmtId="14" fontId="0" fillId="0" borderId="1" xfId="0" applyNumberFormat="1" applyBorder="1" applyAlignment="1">
      <alignment horizontal="left"/>
    </xf>
    <xf numFmtId="44" fontId="0" fillId="0" borderId="1" xfId="0" applyNumberFormat="1" applyBorder="1"/>
    <xf numFmtId="168" fontId="0" fillId="0" borderId="1" xfId="0" applyNumberFormat="1" applyBorder="1"/>
    <xf numFmtId="14" fontId="0" fillId="2" borderId="1" xfId="0" applyNumberFormat="1" applyFill="1" applyBorder="1" applyAlignment="1">
      <alignment horizontal="left"/>
    </xf>
    <xf numFmtId="0" fontId="13" fillId="0" borderId="0" xfId="0" applyFont="1" applyAlignment="1">
      <alignment horizontal="left"/>
    </xf>
    <xf numFmtId="0" fontId="9" fillId="0" borderId="0" xfId="0" applyFont="1" applyAlignment="1">
      <alignment horizontal="left"/>
    </xf>
    <xf numFmtId="0" fontId="9" fillId="0" borderId="0" xfId="0" applyFont="1"/>
    <xf numFmtId="0" fontId="23" fillId="0" borderId="0" xfId="0" applyFont="1" applyBorder="1" applyAlignment="1">
      <alignment vertical="center" wrapText="1"/>
    </xf>
    <xf numFmtId="0" fontId="6" fillId="5" borderId="34" xfId="0" applyFont="1" applyFill="1" applyBorder="1"/>
    <xf numFmtId="0" fontId="9" fillId="0" borderId="0" xfId="0" applyFont="1" applyBorder="1" applyAlignment="1">
      <alignment vertical="top" wrapText="1"/>
    </xf>
    <xf numFmtId="0" fontId="0" fillId="0" borderId="22" xfId="0" applyFill="1" applyBorder="1"/>
    <xf numFmtId="0" fontId="0" fillId="6" borderId="40" xfId="0" applyFill="1" applyBorder="1"/>
    <xf numFmtId="0" fontId="6" fillId="0" borderId="0" xfId="0" applyFont="1" applyBorder="1" applyAlignment="1">
      <alignment wrapText="1"/>
    </xf>
    <xf numFmtId="0" fontId="17" fillId="0" borderId="24" xfId="0" applyFont="1" applyBorder="1"/>
    <xf numFmtId="0" fontId="17" fillId="0" borderId="33" xfId="0" applyFont="1" applyBorder="1"/>
    <xf numFmtId="44" fontId="0" fillId="0" borderId="0" xfId="0" applyNumberFormat="1" applyFill="1" applyBorder="1"/>
    <xf numFmtId="0" fontId="0" fillId="0" borderId="0" xfId="0" applyFill="1" applyAlignment="1">
      <alignment wrapText="1"/>
    </xf>
    <xf numFmtId="0" fontId="9" fillId="0" borderId="36" xfId="0" applyFont="1" applyBorder="1" applyAlignment="1">
      <alignment horizontal="left" vertical="top" wrapText="1"/>
    </xf>
    <xf numFmtId="0" fontId="9" fillId="0" borderId="35" xfId="0" applyFont="1" applyBorder="1" applyAlignment="1">
      <alignment horizontal="left" vertical="top" wrapText="1"/>
    </xf>
    <xf numFmtId="0" fontId="0" fillId="2" borderId="1" xfId="0" applyFill="1" applyBorder="1" applyAlignment="1">
      <alignment horizontal="left"/>
    </xf>
    <xf numFmtId="0" fontId="0" fillId="0" borderId="0" xfId="0" applyFill="1" applyBorder="1" applyAlignment="1">
      <alignment vertical="top" wrapText="1"/>
    </xf>
    <xf numFmtId="165" fontId="0" fillId="0" borderId="0" xfId="1" applyNumberFormat="1" applyFont="1" applyFill="1" applyBorder="1"/>
    <xf numFmtId="0" fontId="6" fillId="0" borderId="0" xfId="0" applyFont="1" applyFill="1" applyBorder="1" applyAlignment="1"/>
    <xf numFmtId="0" fontId="7" fillId="0" borderId="0" xfId="0" applyFont="1" applyFill="1" applyBorder="1" applyAlignment="1"/>
    <xf numFmtId="0" fontId="22" fillId="0" borderId="0" xfId="0" applyFont="1" applyFill="1" applyBorder="1" applyAlignment="1"/>
    <xf numFmtId="0" fontId="9" fillId="0" borderId="0" xfId="0" applyFont="1" applyFill="1" applyBorder="1" applyAlignment="1">
      <alignment horizontal="left" vertical="top" wrapText="1"/>
    </xf>
    <xf numFmtId="0" fontId="0" fillId="0" borderId="0" xfId="0" applyFill="1" applyBorder="1" applyAlignment="1"/>
    <xf numFmtId="0" fontId="0" fillId="0" borderId="21" xfId="0" applyBorder="1"/>
    <xf numFmtId="0" fontId="0" fillId="0" borderId="19" xfId="0" applyFill="1" applyBorder="1" applyAlignment="1">
      <alignment wrapText="1"/>
    </xf>
    <xf numFmtId="169" fontId="0" fillId="0" borderId="0" xfId="0" applyNumberFormat="1" applyFill="1" applyBorder="1"/>
    <xf numFmtId="2" fontId="0" fillId="0" borderId="0" xfId="0" applyNumberFormat="1" applyFill="1" applyBorder="1"/>
    <xf numFmtId="44" fontId="0" fillId="0" borderId="0" xfId="0" applyNumberFormat="1"/>
    <xf numFmtId="169" fontId="0" fillId="0" borderId="0" xfId="0" applyNumberFormat="1" applyBorder="1"/>
    <xf numFmtId="0" fontId="0" fillId="0" borderId="0" xfId="0" applyFill="1" applyBorder="1" applyAlignment="1">
      <alignment horizontal="left" vertical="top" wrapText="1"/>
    </xf>
    <xf numFmtId="0" fontId="0" fillId="7" borderId="4" xfId="0" applyFill="1" applyBorder="1" applyAlignment="1">
      <alignment vertical="top" wrapText="1"/>
    </xf>
    <xf numFmtId="0" fontId="0" fillId="7" borderId="0" xfId="0" applyFill="1" applyBorder="1" applyAlignment="1">
      <alignment vertical="top" wrapText="1"/>
    </xf>
    <xf numFmtId="0" fontId="0" fillId="7" borderId="5" xfId="0" applyFill="1" applyBorder="1" applyAlignment="1">
      <alignment vertical="top" wrapText="1"/>
    </xf>
    <xf numFmtId="0" fontId="21" fillId="2" borderId="1" xfId="0" applyFont="1" applyFill="1" applyBorder="1"/>
    <xf numFmtId="170" fontId="0" fillId="0" borderId="11" xfId="0" applyNumberFormat="1" applyFill="1" applyBorder="1" applyAlignment="1">
      <alignment vertical="top"/>
    </xf>
    <xf numFmtId="0" fontId="17" fillId="0" borderId="19" xfId="0" applyFont="1" applyFill="1" applyBorder="1"/>
    <xf numFmtId="0" fontId="9" fillId="0" borderId="11" xfId="1" applyNumberFormat="1" applyFont="1" applyFill="1" applyBorder="1" applyAlignment="1">
      <alignment horizontal="left"/>
    </xf>
    <xf numFmtId="0" fontId="9" fillId="0" borderId="0" xfId="1" applyNumberFormat="1" applyFont="1" applyFill="1" applyBorder="1" applyAlignment="1">
      <alignment horizontal="left"/>
    </xf>
    <xf numFmtId="0" fontId="9" fillId="0" borderId="18" xfId="0" applyFont="1" applyBorder="1" applyAlignment="1">
      <alignment horizontal="right"/>
    </xf>
    <xf numFmtId="0" fontId="9" fillId="0" borderId="0" xfId="0" applyFont="1" applyBorder="1" applyAlignment="1">
      <alignment horizontal="right"/>
    </xf>
    <xf numFmtId="0" fontId="9" fillId="2" borderId="1" xfId="0" applyNumberFormat="1" applyFont="1" applyFill="1" applyBorder="1" applyAlignment="1">
      <alignment horizontal="left"/>
    </xf>
    <xf numFmtId="0" fontId="2" fillId="0" borderId="0" xfId="0" applyFont="1" applyAlignment="1"/>
    <xf numFmtId="171" fontId="0" fillId="0" borderId="0" xfId="1" applyNumberFormat="1" applyFont="1" applyFill="1" applyBorder="1"/>
    <xf numFmtId="0" fontId="0" fillId="0" borderId="0" xfId="0" applyFill="1" applyAlignment="1">
      <alignment vertical="top" wrapText="1"/>
    </xf>
    <xf numFmtId="0" fontId="3" fillId="0" borderId="18" xfId="0" applyFont="1" applyBorder="1" applyAlignment="1">
      <alignment horizontal="left"/>
    </xf>
    <xf numFmtId="0" fontId="3" fillId="0" borderId="0" xfId="0" applyFont="1" applyBorder="1" applyAlignment="1">
      <alignment horizontal="left"/>
    </xf>
    <xf numFmtId="0" fontId="9" fillId="0" borderId="18" xfId="0" applyFont="1" applyBorder="1" applyAlignment="1">
      <alignment horizontal="left" wrapText="1"/>
    </xf>
    <xf numFmtId="0" fontId="17" fillId="0" borderId="0" xfId="0" applyFont="1" applyBorder="1" applyAlignment="1">
      <alignment horizontal="left"/>
    </xf>
    <xf numFmtId="0" fontId="17" fillId="0" borderId="19" xfId="0" applyFont="1" applyBorder="1" applyAlignment="1">
      <alignment horizontal="left"/>
    </xf>
    <xf numFmtId="0" fontId="8" fillId="0" borderId="15" xfId="0" applyFont="1" applyBorder="1" applyAlignment="1">
      <alignment horizontal="left"/>
    </xf>
    <xf numFmtId="0" fontId="8" fillId="0" borderId="16" xfId="0" applyFont="1" applyBorder="1" applyAlignment="1">
      <alignment horizontal="left"/>
    </xf>
    <xf numFmtId="0" fontId="9" fillId="0" borderId="4" xfId="0" applyFont="1" applyBorder="1" applyAlignment="1">
      <alignment horizontal="left" vertical="top" wrapText="1"/>
    </xf>
    <xf numFmtId="0" fontId="9" fillId="2" borderId="1" xfId="0" applyFont="1" applyFill="1" applyBorder="1"/>
    <xf numFmtId="0" fontId="9" fillId="0" borderId="18" xfId="0" applyFont="1" applyBorder="1"/>
    <xf numFmtId="44" fontId="9" fillId="0" borderId="0" xfId="1" applyFont="1" applyBorder="1"/>
    <xf numFmtId="0" fontId="9" fillId="0" borderId="22" xfId="0" applyFont="1" applyBorder="1" applyAlignment="1">
      <alignment horizontal="left"/>
    </xf>
    <xf numFmtId="44" fontId="9" fillId="0" borderId="23" xfId="0" applyNumberFormat="1" applyFont="1" applyFill="1" applyBorder="1" applyAlignment="1">
      <alignment horizontal="left"/>
    </xf>
    <xf numFmtId="0" fontId="0" fillId="0" borderId="0" xfId="0" applyFill="1" applyBorder="1" applyAlignment="1">
      <alignment horizontal="left"/>
    </xf>
    <xf numFmtId="0" fontId="0" fillId="0" borderId="8" xfId="0" applyFill="1" applyBorder="1" applyAlignment="1">
      <alignment horizontal="left"/>
    </xf>
    <xf numFmtId="169" fontId="0" fillId="0" borderId="19" xfId="0" applyNumberFormat="1" applyFill="1" applyBorder="1"/>
    <xf numFmtId="169" fontId="0" fillId="0" borderId="19" xfId="0" applyNumberFormat="1" applyBorder="1"/>
    <xf numFmtId="169" fontId="0" fillId="0" borderId="19" xfId="0" applyNumberFormat="1" applyBorder="1" applyAlignment="1">
      <alignment wrapText="1"/>
    </xf>
    <xf numFmtId="2" fontId="0" fillId="0" borderId="0" xfId="0" applyNumberFormat="1" applyBorder="1"/>
    <xf numFmtId="169" fontId="0" fillId="0" borderId="0" xfId="0" applyNumberFormat="1" applyBorder="1" applyAlignment="1">
      <alignment wrapText="1"/>
    </xf>
    <xf numFmtId="0" fontId="17"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23" fillId="0" borderId="0" xfId="0" applyFont="1" applyAlignment="1"/>
    <xf numFmtId="0" fontId="23" fillId="0" borderId="0" xfId="0" applyFont="1" applyAlignment="1">
      <alignment wrapText="1"/>
    </xf>
    <xf numFmtId="0" fontId="17" fillId="0" borderId="0" xfId="0" applyFont="1" applyBorder="1" applyAlignment="1">
      <alignment wrapText="1"/>
    </xf>
    <xf numFmtId="0" fontId="0" fillId="0" borderId="0" xfId="0" applyFont="1" applyBorder="1" applyAlignment="1"/>
    <xf numFmtId="0" fontId="17" fillId="0" borderId="19" xfId="0" applyFont="1" applyBorder="1" applyAlignment="1">
      <alignment wrapText="1"/>
    </xf>
    <xf numFmtId="164" fontId="0" fillId="0" borderId="43" xfId="1" applyNumberFormat="1" applyFont="1" applyFill="1" applyBorder="1" applyAlignment="1"/>
    <xf numFmtId="0" fontId="17" fillId="0" borderId="16" xfId="0" applyFont="1" applyBorder="1"/>
    <xf numFmtId="0" fontId="17" fillId="0" borderId="17" xfId="0" applyFont="1" applyBorder="1"/>
    <xf numFmtId="44" fontId="0" fillId="2" borderId="29" xfId="1" applyFont="1" applyFill="1" applyBorder="1"/>
    <xf numFmtId="44" fontId="0" fillId="2" borderId="29" xfId="1" applyFont="1" applyFill="1" applyBorder="1" applyAlignment="1"/>
    <xf numFmtId="0" fontId="0" fillId="0" borderId="0" xfId="0" applyFont="1" applyBorder="1" applyAlignment="1">
      <alignment horizontal="left"/>
    </xf>
    <xf numFmtId="0" fontId="17" fillId="0" borderId="18" xfId="0" applyFont="1" applyBorder="1" applyAlignment="1">
      <alignment vertical="center"/>
    </xf>
    <xf numFmtId="0" fontId="2" fillId="0" borderId="0" xfId="0" applyFont="1" applyBorder="1"/>
    <xf numFmtId="0" fontId="2" fillId="0" borderId="19" xfId="0" applyFont="1" applyBorder="1"/>
    <xf numFmtId="0" fontId="0" fillId="0" borderId="18" xfId="0" applyFont="1" applyBorder="1"/>
    <xf numFmtId="0" fontId="0" fillId="0" borderId="0" xfId="0" applyFont="1" applyBorder="1"/>
    <xf numFmtId="44" fontId="0" fillId="2" borderId="42" xfId="1" applyFont="1" applyFill="1" applyBorder="1"/>
    <xf numFmtId="0" fontId="2" fillId="8" borderId="37" xfId="0" applyFont="1" applyFill="1" applyBorder="1"/>
    <xf numFmtId="44" fontId="2" fillId="8" borderId="29" xfId="1" applyFont="1" applyFill="1" applyBorder="1"/>
    <xf numFmtId="44" fontId="2" fillId="8" borderId="47" xfId="1" applyFont="1" applyFill="1" applyBorder="1"/>
    <xf numFmtId="44" fontId="0" fillId="0" borderId="34" xfId="1" applyFont="1" applyBorder="1" applyAlignment="1">
      <alignment horizontal="left"/>
    </xf>
    <xf numFmtId="166" fontId="9" fillId="0" borderId="34" xfId="1" applyNumberFormat="1" applyFont="1" applyBorder="1" applyAlignment="1">
      <alignment horizontal="left"/>
    </xf>
    <xf numFmtId="44" fontId="2" fillId="0" borderId="0" xfId="1" applyFont="1" applyBorder="1"/>
    <xf numFmtId="0" fontId="2" fillId="0" borderId="0" xfId="0" applyFont="1" applyBorder="1" applyAlignment="1"/>
    <xf numFmtId="172" fontId="0" fillId="0" borderId="0" xfId="1" applyNumberFormat="1" applyFont="1" applyBorder="1"/>
    <xf numFmtId="172" fontId="0" fillId="0" borderId="0" xfId="0" applyNumberFormat="1" applyBorder="1"/>
    <xf numFmtId="0" fontId="2" fillId="0" borderId="0" xfId="0" applyFont="1" applyBorder="1" applyAlignment="1">
      <alignment horizontal="left"/>
    </xf>
    <xf numFmtId="0" fontId="0" fillId="0" borderId="21" xfId="0" applyBorder="1" applyAlignment="1">
      <alignment horizontal="left" vertical="top" wrapText="1"/>
    </xf>
    <xf numFmtId="0" fontId="2" fillId="0" borderId="15" xfId="0" applyFont="1" applyBorder="1" applyAlignment="1">
      <alignment horizontal="left"/>
    </xf>
    <xf numFmtId="0" fontId="2" fillId="0" borderId="16" xfId="0" applyFont="1" applyBorder="1" applyAlignment="1">
      <alignment horizontal="left"/>
    </xf>
    <xf numFmtId="0" fontId="0" fillId="0" borderId="0" xfId="0" applyBorder="1" applyAlignment="1">
      <alignment horizontal="right"/>
    </xf>
    <xf numFmtId="0" fontId="7" fillId="0" borderId="18" xfId="0" applyFont="1" applyBorder="1" applyAlignment="1">
      <alignment horizontal="center" vertical="center"/>
    </xf>
    <xf numFmtId="0" fontId="7" fillId="0" borderId="0" xfId="0" applyFont="1" applyBorder="1" applyAlignment="1">
      <alignment horizontal="center" vertical="center"/>
    </xf>
    <xf numFmtId="0" fontId="7" fillId="0" borderId="19" xfId="0" applyFont="1" applyBorder="1" applyAlignment="1">
      <alignment horizontal="center" vertical="center"/>
    </xf>
    <xf numFmtId="164" fontId="0" fillId="0" borderId="23" xfId="1" applyNumberFormat="1" applyFont="1" applyFill="1" applyBorder="1"/>
    <xf numFmtId="44" fontId="2" fillId="0" borderId="0" xfId="1" applyFont="1" applyFill="1" applyBorder="1"/>
    <xf numFmtId="0" fontId="2" fillId="0" borderId="0" xfId="0" applyFont="1" applyFill="1" applyBorder="1" applyAlignment="1"/>
    <xf numFmtId="164" fontId="33" fillId="0" borderId="0" xfId="0" applyNumberFormat="1" applyFont="1"/>
    <xf numFmtId="0" fontId="34" fillId="4" borderId="0" xfId="0" applyFont="1" applyFill="1" applyAlignment="1">
      <alignment horizontal="left"/>
    </xf>
    <xf numFmtId="0" fontId="0" fillId="0" borderId="18" xfId="0" applyFill="1" applyBorder="1" applyAlignment="1">
      <alignment vertical="top" wrapText="1"/>
    </xf>
    <xf numFmtId="0" fontId="17" fillId="0" borderId="19" xfId="0" applyFont="1" applyFill="1" applyBorder="1" applyAlignment="1">
      <alignment vertical="top"/>
    </xf>
    <xf numFmtId="0" fontId="0" fillId="2" borderId="1" xfId="0" applyFill="1" applyBorder="1" applyAlignment="1">
      <alignment horizontal="right"/>
    </xf>
    <xf numFmtId="0" fontId="0" fillId="2" borderId="29" xfId="0" applyFill="1" applyBorder="1" applyAlignment="1">
      <alignment horizontal="right"/>
    </xf>
    <xf numFmtId="0" fontId="0" fillId="0" borderId="19" xfId="0" applyFont="1" applyBorder="1"/>
    <xf numFmtId="44" fontId="0" fillId="2" borderId="42" xfId="1" applyFont="1" applyFill="1" applyBorder="1" applyAlignment="1"/>
    <xf numFmtId="0" fontId="0" fillId="0" borderId="18" xfId="0" applyFont="1" applyFill="1" applyBorder="1"/>
    <xf numFmtId="0" fontId="0" fillId="0" borderId="0" xfId="0" applyFont="1" applyFill="1" applyBorder="1"/>
    <xf numFmtId="0" fontId="0" fillId="3" borderId="20" xfId="0" applyFont="1" applyFill="1" applyBorder="1"/>
    <xf numFmtId="0" fontId="0" fillId="0" borderId="23" xfId="0" applyFont="1" applyBorder="1"/>
    <xf numFmtId="0" fontId="23" fillId="0" borderId="0" xfId="0" applyFont="1" applyAlignment="1">
      <alignment horizontal="left" wrapText="1"/>
    </xf>
    <xf numFmtId="0" fontId="17" fillId="0" borderId="44" xfId="0" applyFont="1" applyBorder="1" applyAlignment="1">
      <alignment horizontal="center" vertical="center"/>
    </xf>
    <xf numFmtId="0" fontId="17" fillId="0" borderId="20" xfId="0" applyFont="1" applyBorder="1" applyAlignment="1">
      <alignment horizontal="center" vertical="center"/>
    </xf>
    <xf numFmtId="0" fontId="17" fillId="0" borderId="45" xfId="0" applyFont="1" applyBorder="1" applyAlignment="1">
      <alignment horizontal="left" vertical="center" wrapText="1"/>
    </xf>
    <xf numFmtId="0" fontId="17" fillId="0" borderId="46" xfId="0" applyFont="1" applyBorder="1" applyAlignment="1">
      <alignment horizontal="left" vertical="center" wrapText="1"/>
    </xf>
    <xf numFmtId="0" fontId="17" fillId="0" borderId="1" xfId="0" applyFont="1" applyBorder="1" applyAlignment="1">
      <alignment horizontal="left" vertical="center" wrapText="1"/>
    </xf>
    <xf numFmtId="0" fontId="17" fillId="0" borderId="42" xfId="0" applyFont="1" applyBorder="1" applyAlignment="1">
      <alignment horizontal="left" vertical="center" wrapText="1"/>
    </xf>
    <xf numFmtId="0" fontId="2" fillId="8" borderId="29" xfId="0" applyFont="1" applyFill="1" applyBorder="1" applyAlignment="1">
      <alignment horizontal="left"/>
    </xf>
    <xf numFmtId="0" fontId="0" fillId="0" borderId="22" xfId="0" applyFont="1" applyBorder="1" applyAlignment="1">
      <alignment horizontal="left"/>
    </xf>
    <xf numFmtId="0" fontId="0" fillId="0" borderId="23" xfId="0" applyFont="1" applyBorder="1" applyAlignment="1">
      <alignment horizontal="left"/>
    </xf>
    <xf numFmtId="0" fontId="0" fillId="0" borderId="24" xfId="0" applyFont="1" applyBorder="1" applyAlignment="1">
      <alignment horizontal="left"/>
    </xf>
    <xf numFmtId="0" fontId="0" fillId="3" borderId="1" xfId="0" applyFont="1" applyFill="1" applyBorder="1" applyAlignment="1">
      <alignment horizontal="left"/>
    </xf>
    <xf numFmtId="0" fontId="0" fillId="3" borderId="1" xfId="0" applyFont="1" applyFill="1" applyBorder="1" applyAlignment="1">
      <alignment horizontal="center"/>
    </xf>
    <xf numFmtId="0" fontId="2" fillId="0" borderId="0" xfId="0" applyFont="1" applyBorder="1" applyAlignment="1">
      <alignment horizontal="left"/>
    </xf>
    <xf numFmtId="0" fontId="17" fillId="0" borderId="26" xfId="0" applyFont="1" applyBorder="1" applyAlignment="1">
      <alignment horizontal="left" vertical="top"/>
    </xf>
    <xf numFmtId="0" fontId="17" fillId="0" borderId="27" xfId="0" applyFont="1" applyBorder="1" applyAlignment="1">
      <alignment horizontal="left" vertical="top"/>
    </xf>
    <xf numFmtId="0" fontId="17" fillId="0" borderId="33" xfId="0" applyFont="1" applyBorder="1" applyAlignment="1">
      <alignment horizontal="left" vertical="top"/>
    </xf>
    <xf numFmtId="0" fontId="17" fillId="0" borderId="15" xfId="0" applyFont="1" applyBorder="1" applyAlignment="1">
      <alignment horizontal="left" vertical="top" wrapText="1"/>
    </xf>
    <xf numFmtId="0" fontId="17" fillId="0" borderId="16" xfId="0" applyFont="1" applyBorder="1" applyAlignment="1">
      <alignment horizontal="left" vertical="top" wrapText="1"/>
    </xf>
    <xf numFmtId="0" fontId="17" fillId="0" borderId="17" xfId="0" applyFont="1" applyBorder="1" applyAlignment="1">
      <alignment horizontal="left" vertical="top" wrapText="1"/>
    </xf>
    <xf numFmtId="0" fontId="17" fillId="0" borderId="18" xfId="0" applyFont="1" applyBorder="1" applyAlignment="1">
      <alignment horizontal="left" vertical="top" wrapText="1"/>
    </xf>
    <xf numFmtId="0" fontId="17" fillId="0" borderId="0" xfId="0" applyFont="1" applyBorder="1" applyAlignment="1">
      <alignment horizontal="left" vertical="top" wrapText="1"/>
    </xf>
    <xf numFmtId="0" fontId="17" fillId="0" borderId="19" xfId="0" applyFont="1" applyBorder="1" applyAlignment="1">
      <alignment horizontal="left" vertical="top" wrapText="1"/>
    </xf>
    <xf numFmtId="0" fontId="17" fillId="0" borderId="22" xfId="0" applyFont="1" applyBorder="1" applyAlignment="1">
      <alignment horizontal="left" vertical="top" wrapText="1"/>
    </xf>
    <xf numFmtId="0" fontId="17" fillId="0" borderId="23" xfId="0" applyFont="1" applyBorder="1" applyAlignment="1">
      <alignment horizontal="left" vertical="top" wrapText="1"/>
    </xf>
    <xf numFmtId="0" fontId="17" fillId="0" borderId="24" xfId="0" applyFont="1" applyBorder="1" applyAlignment="1">
      <alignment horizontal="left" vertical="top" wrapText="1"/>
    </xf>
    <xf numFmtId="0" fontId="0" fillId="0" borderId="18" xfId="0" applyFont="1" applyBorder="1" applyAlignment="1">
      <alignment horizontal="right"/>
    </xf>
    <xf numFmtId="0" fontId="0" fillId="0" borderId="0" xfId="0" applyFont="1" applyBorder="1" applyAlignment="1">
      <alignment horizontal="right"/>
    </xf>
    <xf numFmtId="0" fontId="32" fillId="0" borderId="15" xfId="2" applyFont="1" applyBorder="1" applyAlignment="1">
      <alignment horizontal="left" vertical="top" wrapText="1"/>
    </xf>
    <xf numFmtId="0" fontId="32" fillId="0" borderId="16" xfId="2" applyFont="1" applyBorder="1" applyAlignment="1">
      <alignment horizontal="left" vertical="top" wrapText="1"/>
    </xf>
    <xf numFmtId="0" fontId="32" fillId="0" borderId="17" xfId="2" applyFont="1" applyBorder="1" applyAlignment="1">
      <alignment horizontal="left" vertical="top" wrapText="1"/>
    </xf>
    <xf numFmtId="0" fontId="32" fillId="0" borderId="22" xfId="2" applyFont="1" applyBorder="1" applyAlignment="1">
      <alignment horizontal="left" vertical="top" wrapText="1"/>
    </xf>
    <xf numFmtId="0" fontId="32" fillId="0" borderId="23" xfId="2" applyFont="1" applyBorder="1" applyAlignment="1">
      <alignment horizontal="left" vertical="top" wrapText="1"/>
    </xf>
    <xf numFmtId="0" fontId="32" fillId="0" borderId="24" xfId="2" applyFont="1" applyBorder="1" applyAlignment="1">
      <alignment horizontal="left" vertical="top" wrapText="1"/>
    </xf>
    <xf numFmtId="0" fontId="23" fillId="0" borderId="0" xfId="0" applyFont="1" applyAlignment="1">
      <alignment horizontal="left"/>
    </xf>
    <xf numFmtId="0" fontId="23" fillId="0" borderId="23" xfId="0" applyFont="1" applyBorder="1" applyAlignment="1">
      <alignment horizontal="left"/>
    </xf>
    <xf numFmtId="0" fontId="3" fillId="0" borderId="15" xfId="0" applyFont="1" applyBorder="1" applyAlignment="1">
      <alignment horizontal="left"/>
    </xf>
    <xf numFmtId="0" fontId="3" fillId="0" borderId="16" xfId="0" applyFont="1" applyBorder="1" applyAlignment="1">
      <alignment horizontal="left"/>
    </xf>
    <xf numFmtId="0" fontId="9" fillId="0" borderId="18" xfId="0" applyFont="1" applyBorder="1" applyAlignment="1">
      <alignment horizontal="left" wrapText="1"/>
    </xf>
    <xf numFmtId="0" fontId="9" fillId="2" borderId="1" xfId="0" applyFont="1" applyFill="1" applyBorder="1" applyAlignment="1">
      <alignment horizontal="left"/>
    </xf>
    <xf numFmtId="0" fontId="17" fillId="0" borderId="0" xfId="0" applyFont="1" applyBorder="1" applyAlignment="1">
      <alignment horizontal="left"/>
    </xf>
    <xf numFmtId="0" fontId="17" fillId="0" borderId="19" xfId="0" applyFont="1" applyBorder="1" applyAlignment="1">
      <alignment horizontal="left"/>
    </xf>
    <xf numFmtId="0" fontId="17" fillId="0" borderId="0" xfId="0" applyFont="1" applyBorder="1" applyAlignment="1">
      <alignment horizontal="left" wrapText="1"/>
    </xf>
    <xf numFmtId="0" fontId="17" fillId="0" borderId="26" xfId="0" applyFont="1" applyBorder="1" applyAlignment="1">
      <alignment horizontal="left" vertical="top" wrapText="1"/>
    </xf>
    <xf numFmtId="0" fontId="17" fillId="0" borderId="27" xfId="0" applyFont="1" applyBorder="1" applyAlignment="1">
      <alignment horizontal="left" vertical="top" wrapText="1"/>
    </xf>
    <xf numFmtId="0" fontId="17" fillId="0" borderId="33" xfId="0" applyFont="1" applyBorder="1" applyAlignment="1">
      <alignment horizontal="left" vertical="top" wrapText="1"/>
    </xf>
    <xf numFmtId="0" fontId="17" fillId="0" borderId="26" xfId="0" applyFont="1" applyBorder="1" applyAlignment="1">
      <alignment horizontal="center" vertical="top" wrapText="1"/>
    </xf>
    <xf numFmtId="0" fontId="17" fillId="0" borderId="27" xfId="0" applyFont="1" applyBorder="1" applyAlignment="1">
      <alignment horizontal="center" vertical="top" wrapText="1"/>
    </xf>
    <xf numFmtId="0" fontId="17" fillId="0" borderId="33" xfId="0" applyFont="1" applyBorder="1" applyAlignment="1">
      <alignment horizontal="center" vertical="top" wrapText="1"/>
    </xf>
    <xf numFmtId="0" fontId="2" fillId="0" borderId="0" xfId="0" applyFont="1" applyAlignment="1">
      <alignment horizontal="center"/>
    </xf>
    <xf numFmtId="0" fontId="2" fillId="0" borderId="0" xfId="0" applyFont="1" applyAlignment="1">
      <alignment horizontal="left"/>
    </xf>
    <xf numFmtId="0" fontId="23" fillId="0" borderId="0" xfId="0" applyFont="1" applyBorder="1" applyAlignment="1">
      <alignment horizontal="center" vertical="center" wrapText="1"/>
    </xf>
    <xf numFmtId="0" fontId="23" fillId="0" borderId="23" xfId="0" applyFont="1" applyBorder="1" applyAlignment="1">
      <alignment horizontal="center" vertical="center" wrapText="1"/>
    </xf>
    <xf numFmtId="0" fontId="0" fillId="0" borderId="21" xfId="0" applyBorder="1" applyAlignment="1">
      <alignment horizontal="center" vertical="top" wrapText="1"/>
    </xf>
    <xf numFmtId="0" fontId="0" fillId="0" borderId="0" xfId="0" applyAlignment="1">
      <alignment horizontal="left" wrapText="1"/>
    </xf>
    <xf numFmtId="0" fontId="9" fillId="0" borderId="0" xfId="0" applyFont="1" applyAlignment="1">
      <alignment horizontal="left" wrapText="1"/>
    </xf>
    <xf numFmtId="0" fontId="2" fillId="0" borderId="15" xfId="0" applyFont="1" applyBorder="1" applyAlignment="1">
      <alignment horizontal="left"/>
    </xf>
    <xf numFmtId="0" fontId="2" fillId="0" borderId="16" xfId="0" applyFont="1" applyBorder="1" applyAlignment="1">
      <alignment horizontal="left"/>
    </xf>
    <xf numFmtId="0" fontId="0" fillId="0" borderId="0" xfId="0" applyFill="1" applyBorder="1" applyAlignment="1">
      <alignment horizontal="left"/>
    </xf>
    <xf numFmtId="0" fontId="0" fillId="0" borderId="0" xfId="0" applyAlignment="1">
      <alignment horizontal="left" vertical="center"/>
    </xf>
    <xf numFmtId="0" fontId="0" fillId="2" borderId="13" xfId="0" applyFill="1" applyBorder="1" applyAlignment="1">
      <alignment horizontal="center"/>
    </xf>
    <xf numFmtId="0" fontId="0" fillId="2" borderId="14" xfId="0" applyFill="1" applyBorder="1" applyAlignment="1">
      <alignment horizontal="center"/>
    </xf>
    <xf numFmtId="0" fontId="0" fillId="0" borderId="5" xfId="0" applyBorder="1" applyAlignment="1">
      <alignment horizontal="left" wrapText="1"/>
    </xf>
    <xf numFmtId="0" fontId="0" fillId="2" borderId="8" xfId="0" applyFill="1" applyBorder="1" applyAlignment="1">
      <alignment horizontal="left" wrapText="1"/>
    </xf>
    <xf numFmtId="0" fontId="0" fillId="2" borderId="10" xfId="0" applyFill="1" applyBorder="1" applyAlignment="1">
      <alignment horizontal="left" wrapText="1"/>
    </xf>
    <xf numFmtId="0" fontId="0" fillId="0" borderId="0" xfId="0" applyBorder="1" applyAlignment="1">
      <alignment horizontal="left" wrapText="1"/>
    </xf>
    <xf numFmtId="0" fontId="9" fillId="0" borderId="0" xfId="0" applyFont="1" applyBorder="1" applyAlignment="1">
      <alignment horizontal="left"/>
    </xf>
    <xf numFmtId="0" fontId="0" fillId="2" borderId="2" xfId="0" applyFill="1" applyBorder="1" applyAlignment="1">
      <alignment horizontal="left" vertical="top" wrapText="1"/>
    </xf>
    <xf numFmtId="0" fontId="0" fillId="2" borderId="11"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0" xfId="0" applyFill="1" applyBorder="1" applyAlignment="1">
      <alignment horizontal="left" vertical="top" wrapText="1"/>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0" fillId="2" borderId="12" xfId="0" applyFill="1" applyBorder="1" applyAlignment="1">
      <alignment horizontal="left" vertical="top" wrapText="1"/>
    </xf>
    <xf numFmtId="0" fontId="0" fillId="2" borderId="7" xfId="0" applyFill="1" applyBorder="1" applyAlignment="1">
      <alignment horizontal="left" vertical="top" wrapText="1"/>
    </xf>
    <xf numFmtId="0" fontId="2" fillId="0" borderId="23" xfId="0" applyFont="1" applyBorder="1" applyAlignment="1">
      <alignment horizontal="center" vertical="top" wrapText="1"/>
    </xf>
    <xf numFmtId="0" fontId="9" fillId="0" borderId="0" xfId="0" applyFont="1" applyBorder="1" applyAlignment="1">
      <alignment horizontal="center" vertical="top" wrapText="1"/>
    </xf>
    <xf numFmtId="0" fontId="0" fillId="0" borderId="0" xfId="0" applyBorder="1" applyAlignment="1">
      <alignment horizontal="center" vertical="top" wrapText="1"/>
    </xf>
    <xf numFmtId="0" fontId="0" fillId="0" borderId="0" xfId="0" applyBorder="1" applyAlignment="1">
      <alignment horizontal="center" wrapText="1"/>
    </xf>
    <xf numFmtId="0" fontId="0" fillId="0" borderId="12" xfId="0" applyBorder="1" applyAlignment="1">
      <alignment horizontal="center" wrapText="1"/>
    </xf>
    <xf numFmtId="0" fontId="3" fillId="0" borderId="0" xfId="0" applyFont="1" applyBorder="1" applyAlignment="1">
      <alignment horizontal="center"/>
    </xf>
    <xf numFmtId="0" fontId="0" fillId="0" borderId="15" xfId="0" applyBorder="1" applyAlignment="1">
      <alignment horizontal="left"/>
    </xf>
    <xf numFmtId="0" fontId="0" fillId="0" borderId="16" xfId="0" applyBorder="1" applyAlignment="1">
      <alignment horizontal="left"/>
    </xf>
    <xf numFmtId="0" fontId="0" fillId="0" borderId="18" xfId="0" applyBorder="1" applyAlignment="1">
      <alignment horizontal="center"/>
    </xf>
    <xf numFmtId="44" fontId="0" fillId="0" borderId="0" xfId="1" applyFont="1" applyBorder="1" applyAlignment="1">
      <alignment horizontal="center"/>
    </xf>
    <xf numFmtId="0" fontId="9" fillId="0" borderId="0" xfId="0" applyFont="1" applyBorder="1" applyAlignment="1">
      <alignment horizontal="left" wrapText="1"/>
    </xf>
    <xf numFmtId="0" fontId="0" fillId="0" borderId="0" xfId="0" applyFont="1" applyBorder="1" applyAlignment="1">
      <alignment horizontal="center" wrapText="1"/>
    </xf>
    <xf numFmtId="44" fontId="7" fillId="0" borderId="27" xfId="0" applyNumberFormat="1" applyFont="1" applyBorder="1" applyAlignment="1">
      <alignment horizontal="right"/>
    </xf>
    <xf numFmtId="44" fontId="7" fillId="0" borderId="33" xfId="0" applyNumberFormat="1" applyFont="1" applyBorder="1" applyAlignment="1">
      <alignment horizontal="right"/>
    </xf>
    <xf numFmtId="0" fontId="0" fillId="0" borderId="19" xfId="0" applyBorder="1" applyAlignment="1">
      <alignment horizontal="center" wrapText="1"/>
    </xf>
    <xf numFmtId="0" fontId="2" fillId="7" borderId="6" xfId="0" applyFont="1" applyFill="1" applyBorder="1" applyAlignment="1">
      <alignment horizontal="center" vertical="top" wrapText="1"/>
    </xf>
    <xf numFmtId="0" fontId="2" fillId="7" borderId="12" xfId="0" applyFont="1" applyFill="1" applyBorder="1" applyAlignment="1">
      <alignment horizontal="center" vertical="top" wrapText="1"/>
    </xf>
    <xf numFmtId="0" fontId="2" fillId="7" borderId="7" xfId="0" applyFont="1" applyFill="1" applyBorder="1" applyAlignment="1">
      <alignment horizontal="center" vertical="top" wrapText="1"/>
    </xf>
    <xf numFmtId="0" fontId="7" fillId="0" borderId="26" xfId="0" applyFont="1" applyBorder="1" applyAlignment="1">
      <alignment horizontal="center"/>
    </xf>
    <xf numFmtId="0" fontId="7" fillId="0" borderId="27" xfId="0" applyFont="1" applyBorder="1" applyAlignment="1">
      <alignment horizontal="center"/>
    </xf>
    <xf numFmtId="0" fontId="9" fillId="0" borderId="11" xfId="0" applyFont="1" applyBorder="1" applyAlignment="1">
      <alignment horizontal="center" vertical="top" wrapText="1"/>
    </xf>
    <xf numFmtId="0" fontId="2" fillId="0" borderId="12" xfId="0" applyFont="1" applyBorder="1" applyAlignment="1">
      <alignment horizontal="center" vertical="top" wrapText="1"/>
    </xf>
    <xf numFmtId="0" fontId="0" fillId="0" borderId="9" xfId="0" applyBorder="1" applyAlignment="1">
      <alignment horizontal="center" vertical="top" wrapText="1"/>
    </xf>
    <xf numFmtId="0" fontId="0" fillId="7" borderId="2" xfId="0" applyFill="1" applyBorder="1" applyAlignment="1">
      <alignment horizontal="left" vertical="top" wrapText="1"/>
    </xf>
    <xf numFmtId="0" fontId="0" fillId="7" borderId="11" xfId="0" applyFill="1" applyBorder="1" applyAlignment="1">
      <alignment horizontal="left" vertical="top" wrapText="1"/>
    </xf>
    <xf numFmtId="0" fontId="0" fillId="7" borderId="3" xfId="0" applyFill="1" applyBorder="1" applyAlignment="1">
      <alignment horizontal="left" vertical="top" wrapText="1"/>
    </xf>
    <xf numFmtId="0" fontId="0" fillId="7" borderId="4" xfId="0" applyFill="1" applyBorder="1" applyAlignment="1">
      <alignment horizontal="left" vertical="top" wrapText="1"/>
    </xf>
    <xf numFmtId="0" fontId="0" fillId="7" borderId="0" xfId="0" applyFill="1" applyBorder="1" applyAlignment="1">
      <alignment horizontal="left" vertical="top" wrapText="1"/>
    </xf>
    <xf numFmtId="0" fontId="0" fillId="7" borderId="5" xfId="0" applyFill="1" applyBorder="1" applyAlignment="1">
      <alignment horizontal="left" vertical="top" wrapText="1"/>
    </xf>
    <xf numFmtId="0" fontId="0" fillId="0" borderId="12" xfId="0" applyFont="1" applyBorder="1" applyAlignment="1">
      <alignment horizontal="center" wrapText="1"/>
    </xf>
    <xf numFmtId="0" fontId="7" fillId="0" borderId="18" xfId="0" applyFont="1" applyBorder="1" applyAlignment="1">
      <alignment horizontal="center" vertical="center"/>
    </xf>
    <xf numFmtId="0" fontId="7" fillId="0" borderId="0" xfId="0" applyFont="1" applyBorder="1" applyAlignment="1">
      <alignment horizontal="center" vertical="center"/>
    </xf>
    <xf numFmtId="0" fontId="7" fillId="0" borderId="19" xfId="0" applyFont="1" applyBorder="1" applyAlignment="1">
      <alignment horizontal="center" vertical="center"/>
    </xf>
    <xf numFmtId="0" fontId="9" fillId="0" borderId="19" xfId="0" applyFont="1" applyBorder="1" applyAlignment="1">
      <alignment horizontal="center"/>
    </xf>
    <xf numFmtId="0" fontId="9" fillId="0" borderId="30" xfId="0" applyFont="1" applyBorder="1" applyAlignment="1">
      <alignment horizontal="center"/>
    </xf>
    <xf numFmtId="0" fontId="9" fillId="0" borderId="0" xfId="0" applyFont="1" applyBorder="1" applyAlignment="1">
      <alignment horizontal="center" vertical="center" wrapText="1"/>
    </xf>
    <xf numFmtId="0" fontId="9" fillId="0" borderId="12" xfId="0" applyFont="1" applyBorder="1" applyAlignment="1">
      <alignment horizontal="center" vertical="center" wrapText="1"/>
    </xf>
    <xf numFmtId="0" fontId="0" fillId="7" borderId="1" xfId="0" applyFill="1" applyBorder="1" applyAlignment="1">
      <alignment horizontal="left" vertical="top" wrapText="1"/>
    </xf>
    <xf numFmtId="0" fontId="6" fillId="0" borderId="18" xfId="0" applyFont="1" applyBorder="1" applyAlignment="1">
      <alignment horizontal="right" wrapText="1"/>
    </xf>
    <xf numFmtId="0" fontId="6" fillId="0" borderId="0" xfId="0" applyFont="1" applyBorder="1" applyAlignment="1">
      <alignment horizontal="right" wrapText="1"/>
    </xf>
    <xf numFmtId="0" fontId="6" fillId="0" borderId="19" xfId="0" applyFont="1" applyBorder="1" applyAlignment="1">
      <alignment horizontal="right" wrapText="1"/>
    </xf>
    <xf numFmtId="0" fontId="2" fillId="0" borderId="18" xfId="0" applyFont="1" applyBorder="1" applyAlignment="1">
      <alignment horizontal="center"/>
    </xf>
    <xf numFmtId="0" fontId="2" fillId="0" borderId="0" xfId="0" applyFont="1" applyBorder="1" applyAlignment="1">
      <alignment horizontal="center"/>
    </xf>
    <xf numFmtId="0" fontId="0" fillId="0" borderId="18" xfId="0" applyBorder="1" applyAlignment="1">
      <alignment horizontal="right"/>
    </xf>
    <xf numFmtId="0" fontId="0" fillId="0" borderId="0" xfId="0" applyBorder="1" applyAlignment="1">
      <alignment horizontal="right"/>
    </xf>
    <xf numFmtId="0" fontId="2" fillId="0" borderId="18" xfId="0" applyFont="1" applyBorder="1" applyAlignment="1">
      <alignment horizontal="right"/>
    </xf>
    <xf numFmtId="0" fontId="2" fillId="0" borderId="0" xfId="0" applyFont="1" applyBorder="1" applyAlignment="1">
      <alignment horizontal="right"/>
    </xf>
    <xf numFmtId="0" fontId="0" fillId="0" borderId="18" xfId="0" applyFill="1" applyBorder="1" applyAlignment="1">
      <alignment horizontal="right"/>
    </xf>
    <xf numFmtId="0" fontId="0" fillId="0" borderId="0" xfId="0" applyFill="1" applyBorder="1" applyAlignment="1">
      <alignment horizontal="right"/>
    </xf>
    <xf numFmtId="0" fontId="0" fillId="0" borderId="9" xfId="0" applyBorder="1" applyAlignment="1">
      <alignment horizontal="center" wrapText="1"/>
    </xf>
    <xf numFmtId="0" fontId="0" fillId="0" borderId="10" xfId="0" applyBorder="1" applyAlignment="1">
      <alignment horizontal="center" wrapText="1"/>
    </xf>
    <xf numFmtId="0" fontId="0" fillId="3" borderId="20" xfId="0" applyFill="1" applyBorder="1" applyAlignment="1"/>
    <xf numFmtId="0" fontId="0" fillId="3" borderId="1" xfId="0" applyFill="1" applyBorder="1" applyAlignment="1"/>
    <xf numFmtId="0" fontId="0" fillId="0" borderId="0" xfId="0" applyBorder="1" applyAlignment="1">
      <alignment horizontal="center"/>
    </xf>
    <xf numFmtId="0" fontId="0" fillId="0" borderId="0" xfId="0" applyAlignment="1">
      <alignment horizontal="center"/>
    </xf>
    <xf numFmtId="0" fontId="7" fillId="0" borderId="15" xfId="0" applyFont="1" applyBorder="1" applyAlignment="1">
      <alignment horizontal="left"/>
    </xf>
    <xf numFmtId="0" fontId="7" fillId="0" borderId="16" xfId="0" applyFont="1" applyBorder="1" applyAlignment="1">
      <alignment horizontal="left"/>
    </xf>
    <xf numFmtId="0" fontId="7" fillId="0" borderId="17" xfId="0" applyFont="1" applyBorder="1" applyAlignment="1">
      <alignment horizontal="left"/>
    </xf>
    <xf numFmtId="0" fontId="22" fillId="5" borderId="38" xfId="0" applyFont="1" applyFill="1" applyBorder="1" applyAlignment="1">
      <alignment horizontal="left"/>
    </xf>
    <xf numFmtId="0" fontId="22" fillId="5" borderId="39" xfId="0" applyFont="1" applyFill="1" applyBorder="1" applyAlignment="1">
      <alignment horizontal="left"/>
    </xf>
    <xf numFmtId="0" fontId="22" fillId="0" borderId="18" xfId="0" applyFont="1" applyFill="1" applyBorder="1" applyAlignment="1">
      <alignment horizontal="left"/>
    </xf>
    <xf numFmtId="0" fontId="22" fillId="0" borderId="0" xfId="0" applyFont="1" applyFill="1" applyBorder="1" applyAlignment="1">
      <alignment horizontal="left"/>
    </xf>
    <xf numFmtId="0" fontId="7" fillId="0" borderId="0" xfId="0" applyFont="1" applyAlignment="1">
      <alignment horizontal="left"/>
    </xf>
    <xf numFmtId="0" fontId="24" fillId="0" borderId="41" xfId="0" applyFont="1" applyBorder="1" applyAlignment="1">
      <alignment horizontal="center" vertical="center"/>
    </xf>
    <xf numFmtId="0" fontId="24" fillId="0" borderId="42" xfId="0" applyFont="1" applyBorder="1" applyAlignment="1">
      <alignment horizontal="center" vertical="center"/>
    </xf>
    <xf numFmtId="0" fontId="0" fillId="0" borderId="18" xfId="0" applyBorder="1" applyAlignment="1">
      <alignment horizontal="left" wrapText="1"/>
    </xf>
    <xf numFmtId="0" fontId="0" fillId="3" borderId="20" xfId="0" applyFill="1" applyBorder="1" applyAlignment="1">
      <alignment wrapText="1"/>
    </xf>
    <xf numFmtId="0" fontId="0" fillId="3" borderId="1" xfId="0" applyFill="1" applyBorder="1" applyAlignment="1">
      <alignment wrapText="1"/>
    </xf>
    <xf numFmtId="0" fontId="0" fillId="0" borderId="18" xfId="0" applyBorder="1" applyAlignment="1">
      <alignment horizontal="left"/>
    </xf>
    <xf numFmtId="0" fontId="0" fillId="0" borderId="0" xfId="0" applyBorder="1" applyAlignment="1">
      <alignment horizontal="left"/>
    </xf>
    <xf numFmtId="0" fontId="0" fillId="0" borderId="10" xfId="0" applyFont="1" applyBorder="1" applyAlignment="1">
      <alignment horizontal="center" wrapText="1"/>
    </xf>
    <xf numFmtId="0" fontId="0" fillId="0" borderId="1" xfId="0" applyFont="1" applyBorder="1" applyAlignment="1">
      <alignment horizontal="center" wrapText="1"/>
    </xf>
    <xf numFmtId="0" fontId="0" fillId="0" borderId="25"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0" borderId="1" xfId="0" applyBorder="1" applyAlignment="1">
      <alignment horizontal="center"/>
    </xf>
    <xf numFmtId="0" fontId="0" fillId="0" borderId="26" xfId="0" applyBorder="1" applyAlignment="1">
      <alignment horizontal="left"/>
    </xf>
    <xf numFmtId="0" fontId="0" fillId="0" borderId="27" xfId="0" applyBorder="1" applyAlignment="1">
      <alignment horizontal="left"/>
    </xf>
    <xf numFmtId="0" fontId="0" fillId="0" borderId="33" xfId="0" applyBorder="1" applyAlignment="1">
      <alignment horizontal="left"/>
    </xf>
    <xf numFmtId="0" fontId="0" fillId="0" borderId="1" xfId="0" applyBorder="1" applyAlignment="1">
      <alignment horizontal="left" vertical="top" wrapText="1"/>
    </xf>
    <xf numFmtId="0" fontId="0" fillId="7" borderId="29" xfId="0" applyFill="1" applyBorder="1" applyAlignment="1">
      <alignment horizontal="left" vertical="top" wrapText="1"/>
    </xf>
    <xf numFmtId="0" fontId="9" fillId="0" borderId="4" xfId="0" applyFont="1" applyBorder="1" applyAlignment="1">
      <alignment horizontal="left" vertical="top" wrapText="1"/>
    </xf>
    <xf numFmtId="0" fontId="26" fillId="0" borderId="22" xfId="0" applyFont="1" applyBorder="1" applyAlignment="1">
      <alignment horizontal="center"/>
    </xf>
    <xf numFmtId="0" fontId="26" fillId="0" borderId="23" xfId="0" applyFont="1" applyBorder="1" applyAlignment="1">
      <alignment horizontal="center"/>
    </xf>
    <xf numFmtId="0" fontId="26" fillId="0" borderId="24" xfId="0" applyFont="1" applyBorder="1" applyAlignment="1">
      <alignment horizontal="center"/>
    </xf>
    <xf numFmtId="0" fontId="0" fillId="0" borderId="0" xfId="0" applyAlignment="1">
      <alignment horizontal="left"/>
    </xf>
    <xf numFmtId="0" fontId="0" fillId="0" borderId="0" xfId="0" applyAlignment="1">
      <alignment horizontal="left" vertical="top" wrapText="1"/>
    </xf>
    <xf numFmtId="0" fontId="11" fillId="0" borderId="0" xfId="2" applyAlignment="1">
      <alignment horizontal="left" vertical="top" wrapText="1"/>
    </xf>
    <xf numFmtId="0" fontId="12" fillId="0" borderId="0" xfId="0" applyFont="1" applyAlignment="1">
      <alignment horizontal="left" vertical="top" wrapText="1"/>
    </xf>
    <xf numFmtId="0" fontId="2" fillId="0" borderId="0" xfId="0" applyFont="1" applyAlignment="1">
      <alignment horizontal="left" wrapText="1"/>
    </xf>
    <xf numFmtId="0" fontId="2" fillId="0" borderId="12" xfId="0" applyFont="1" applyBorder="1" applyAlignment="1">
      <alignment horizontal="left" wrapText="1"/>
    </xf>
    <xf numFmtId="0" fontId="2" fillId="0" borderId="0" xfId="0" applyFont="1" applyAlignment="1">
      <alignment horizontal="right"/>
    </xf>
    <xf numFmtId="0" fontId="0" fillId="0" borderId="0" xfId="0" applyFont="1" applyAlignment="1">
      <alignment horizontal="left"/>
    </xf>
    <xf numFmtId="0" fontId="0" fillId="0" borderId="13" xfId="0" applyFill="1" applyBorder="1" applyAlignment="1">
      <alignment horizontal="left"/>
    </xf>
    <xf numFmtId="0" fontId="0" fillId="0" borderId="14" xfId="0" applyFill="1" applyBorder="1" applyAlignment="1">
      <alignment horizontal="left"/>
    </xf>
    <xf numFmtId="0" fontId="0" fillId="0" borderId="0" xfId="0" applyFill="1" applyAlignment="1">
      <alignment horizontal="left" wrapText="1"/>
    </xf>
    <xf numFmtId="0" fontId="0" fillId="0" borderId="2" xfId="0" applyNumberFormat="1" applyFill="1" applyBorder="1" applyAlignment="1">
      <alignment horizontal="left" vertical="top" wrapText="1"/>
    </xf>
    <xf numFmtId="0" fontId="0" fillId="0" borderId="11" xfId="0" applyNumberFormat="1" applyFill="1" applyBorder="1" applyAlignment="1">
      <alignment horizontal="left" vertical="top" wrapText="1"/>
    </xf>
    <xf numFmtId="0" fontId="0" fillId="0" borderId="3" xfId="0" applyNumberFormat="1" applyFill="1" applyBorder="1" applyAlignment="1">
      <alignment horizontal="left" vertical="top" wrapText="1"/>
    </xf>
    <xf numFmtId="0" fontId="0" fillId="0" borderId="4" xfId="0" applyNumberFormat="1" applyFill="1" applyBorder="1" applyAlignment="1">
      <alignment horizontal="left" vertical="top" wrapText="1"/>
    </xf>
    <xf numFmtId="0" fontId="0" fillId="0" borderId="0" xfId="0" applyNumberFormat="1" applyFill="1" applyBorder="1" applyAlignment="1">
      <alignment horizontal="left" vertical="top" wrapText="1"/>
    </xf>
    <xf numFmtId="0" fontId="0" fillId="0" borderId="5" xfId="0" applyNumberFormat="1" applyFill="1" applyBorder="1" applyAlignment="1">
      <alignment horizontal="left" vertical="top" wrapText="1"/>
    </xf>
    <xf numFmtId="0" fontId="0" fillId="0" borderId="6" xfId="0" applyNumberFormat="1" applyFill="1" applyBorder="1" applyAlignment="1">
      <alignment horizontal="left" vertical="top" wrapText="1"/>
    </xf>
    <xf numFmtId="0" fontId="0" fillId="0" borderId="12" xfId="0" applyNumberFormat="1" applyFill="1" applyBorder="1" applyAlignment="1">
      <alignment horizontal="left" vertical="top" wrapText="1"/>
    </xf>
    <xf numFmtId="0" fontId="0" fillId="0" borderId="7" xfId="0" applyNumberFormat="1" applyFill="1" applyBorder="1" applyAlignment="1">
      <alignment horizontal="left" vertical="top" wrapText="1"/>
    </xf>
    <xf numFmtId="0" fontId="25" fillId="0" borderId="0" xfId="0" applyFont="1" applyAlignment="1">
      <alignment horizontal="left"/>
    </xf>
    <xf numFmtId="0" fontId="2" fillId="0" borderId="5" xfId="0" applyFont="1" applyBorder="1" applyAlignment="1">
      <alignment horizontal="left" wrapText="1"/>
    </xf>
    <xf numFmtId="0" fontId="0" fillId="0" borderId="8" xfId="0" applyFill="1" applyBorder="1" applyAlignment="1">
      <alignment horizontal="left" wrapText="1"/>
    </xf>
    <xf numFmtId="0" fontId="0" fillId="0" borderId="10" xfId="0" applyFill="1" applyBorder="1" applyAlignment="1">
      <alignment horizontal="left" wrapText="1"/>
    </xf>
    <xf numFmtId="0" fontId="2" fillId="0" borderId="1" xfId="0" applyFont="1" applyBorder="1" applyAlignment="1">
      <alignment horizontal="left" wrapText="1"/>
    </xf>
    <xf numFmtId="0" fontId="0" fillId="0" borderId="1" xfId="0" applyFill="1" applyBorder="1" applyAlignment="1">
      <alignment horizontal="left"/>
    </xf>
  </cellXfs>
  <cellStyles count="3">
    <cellStyle name="Currency" xfId="1" builtinId="4"/>
    <cellStyle name="Hyperlink" xfId="2" builtinId="8"/>
    <cellStyle name="Normal" xfId="0" builtinId="0"/>
  </cellStyles>
  <dxfs count="28">
    <dxf>
      <font>
        <b val="0"/>
        <i val="0"/>
        <strike val="0"/>
        <condense val="0"/>
        <extend val="0"/>
        <outline val="0"/>
        <shadow val="0"/>
        <u val="none"/>
        <vertAlign val="baseline"/>
        <sz val="9"/>
        <color theme="6" tint="-0.249977111117893"/>
        <name val="Calibri"/>
        <scheme val="minor"/>
      </font>
      <numFmt numFmtId="164" formatCode="_([$$-409]* #,##0.00_);_([$$-409]* \(#,##0.00\);_([$$-409]* &quot;-&quot;??_);_(@_)"/>
    </dxf>
    <dxf>
      <font>
        <b val="0"/>
        <i val="0"/>
        <strike val="0"/>
        <condense val="0"/>
        <extend val="0"/>
        <outline val="0"/>
        <shadow val="0"/>
        <u val="none"/>
        <vertAlign val="baseline"/>
        <sz val="9"/>
        <color theme="6" tint="-0.249977111117893"/>
        <name val="Calibri"/>
        <scheme val="minor"/>
      </font>
    </dxf>
    <dxf>
      <font>
        <b val="0"/>
        <i val="0"/>
        <strike val="0"/>
        <condense val="0"/>
        <extend val="0"/>
        <outline val="0"/>
        <shadow val="0"/>
        <u val="none"/>
        <vertAlign val="baseline"/>
        <sz val="9"/>
        <color theme="6" tint="-0.249977111117893"/>
        <name val="Calibri"/>
        <scheme val="minor"/>
      </font>
    </dxf>
    <dxf>
      <font>
        <b val="0"/>
        <i val="0"/>
        <strike val="0"/>
        <condense val="0"/>
        <extend val="0"/>
        <outline val="0"/>
        <shadow val="0"/>
        <u val="none"/>
        <vertAlign val="baseline"/>
        <sz val="9"/>
        <color theme="6" tint="-0.249977111117893"/>
        <name val="Calibri"/>
        <scheme val="minor"/>
      </font>
      <numFmt numFmtId="164" formatCode="_([$$-409]* #,##0.00_);_([$$-409]* \(#,##0.00\);_([$$-409]* &quot;-&quot;??_);_(@_)"/>
    </dxf>
    <dxf>
      <font>
        <b val="0"/>
        <i val="0"/>
        <strike val="0"/>
        <condense val="0"/>
        <extend val="0"/>
        <outline val="0"/>
        <shadow val="0"/>
        <u val="none"/>
        <vertAlign val="baseline"/>
        <sz val="9"/>
        <color theme="6" tint="-0.249977111117893"/>
        <name val="Calibri"/>
        <scheme val="minor"/>
      </font>
      <numFmt numFmtId="164" formatCode="_([$$-409]* #,##0.00_);_([$$-409]* \(#,##0.00\);_([$$-409]* &quot;-&quot;??_);_(@_)"/>
    </dxf>
    <dxf>
      <font>
        <b val="0"/>
        <i val="0"/>
        <strike val="0"/>
        <condense val="0"/>
        <extend val="0"/>
        <outline val="0"/>
        <shadow val="0"/>
        <u val="none"/>
        <vertAlign val="baseline"/>
        <sz val="9"/>
        <color theme="6" tint="-0.249977111117893"/>
        <name val="Calibri"/>
        <scheme val="minor"/>
      </font>
      <numFmt numFmtId="164" formatCode="_([$$-409]* #,##0.00_);_([$$-409]* \(#,##0.00\);_([$$-409]* &quot;-&quot;??_);_(@_)"/>
    </dxf>
    <dxf>
      <font>
        <b val="0"/>
        <i val="0"/>
        <strike val="0"/>
        <condense val="0"/>
        <extend val="0"/>
        <outline val="0"/>
        <shadow val="0"/>
        <u val="none"/>
        <vertAlign val="baseline"/>
        <sz val="9"/>
        <color theme="6" tint="-0.249977111117893"/>
        <name val="Calibri"/>
        <scheme val="minor"/>
      </font>
      <numFmt numFmtId="164" formatCode="_([$$-409]* #,##0.00_);_([$$-409]* \(#,##0.00\);_([$$-409]* &quot;-&quot;??_);_(@_)"/>
    </dxf>
    <dxf>
      <font>
        <b val="0"/>
        <i val="0"/>
        <strike val="0"/>
        <condense val="0"/>
        <extend val="0"/>
        <outline val="0"/>
        <shadow val="0"/>
        <u val="none"/>
        <vertAlign val="baseline"/>
        <sz val="9"/>
        <color theme="6" tint="-0.249977111117893"/>
        <name val="Calibri"/>
        <scheme val="minor"/>
      </font>
      <numFmt numFmtId="164" formatCode="_([$$-409]* #,##0.00_);_([$$-409]* \(#,##0.00\);_([$$-409]* &quot;-&quot;??_);_(@_)"/>
    </dxf>
    <dxf>
      <font>
        <b val="0"/>
        <i val="0"/>
        <strike val="0"/>
        <condense val="0"/>
        <extend val="0"/>
        <outline val="0"/>
        <shadow val="0"/>
        <u val="none"/>
        <vertAlign val="baseline"/>
        <sz val="9"/>
        <color theme="6" tint="-0.249977111117893"/>
        <name val="Calibri"/>
        <scheme val="minor"/>
      </font>
      <numFmt numFmtId="164" formatCode="_([$$-409]* #,##0.00_);_([$$-409]* \(#,##0.00\);_([$$-409]* &quot;-&quot;??_);_(@_)"/>
    </dxf>
    <dxf>
      <font>
        <b val="0"/>
        <i val="0"/>
        <strike val="0"/>
        <condense val="0"/>
        <extend val="0"/>
        <outline val="0"/>
        <shadow val="0"/>
        <u val="none"/>
        <vertAlign val="baseline"/>
        <sz val="9"/>
        <color theme="6" tint="-0.249977111117893"/>
        <name val="Calibri"/>
        <scheme val="minor"/>
      </font>
    </dxf>
    <dxf>
      <font>
        <b val="0"/>
        <i val="0"/>
        <strike val="0"/>
        <condense val="0"/>
        <extend val="0"/>
        <outline val="0"/>
        <shadow val="0"/>
        <u val="none"/>
        <vertAlign val="baseline"/>
        <sz val="9"/>
        <color theme="6" tint="-0.249977111117893"/>
        <name val="Calibri"/>
        <scheme val="minor"/>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6" tint="-0.249977111117893"/>
        <name val="Calibri"/>
        <scheme val="minor"/>
      </font>
    </dxf>
    <dxf>
      <font>
        <b val="0"/>
        <i val="0"/>
        <strike val="0"/>
        <condense val="0"/>
        <extend val="0"/>
        <outline val="0"/>
        <shadow val="0"/>
        <u val="none"/>
        <vertAlign val="baseline"/>
        <sz val="11"/>
        <color theme="6" tint="-0.249977111117893"/>
        <name val="Calibri"/>
        <scheme val="minor"/>
      </font>
      <fill>
        <patternFill patternType="solid">
          <fgColor theme="6" tint="0.79998168889431442"/>
          <bgColor theme="6" tint="0.79998168889431442"/>
        </patternFill>
      </fill>
      <alignment horizontal="left" vertical="bottom" textRotation="0" wrapText="0" indent="0" justifyLastLine="0" shrinkToFit="0" readingOrder="0"/>
    </dxf>
    <dxf>
      <font>
        <strike val="0"/>
        <outline val="0"/>
        <shadow val="0"/>
        <u val="none"/>
        <vertAlign val="baseline"/>
        <sz val="9"/>
        <name val="Calibri"/>
        <scheme val="minor"/>
      </font>
      <border diagonalUp="0" diagonalDown="0">
        <left/>
        <right style="medium">
          <color indexed="64"/>
        </right>
        <top/>
        <bottom/>
        <vertical/>
        <horizontal/>
      </border>
    </dxf>
    <dxf>
      <font>
        <strike val="0"/>
        <outline val="0"/>
        <shadow val="0"/>
        <u val="none"/>
        <vertAlign val="baseline"/>
        <sz val="9"/>
        <name val="Calibri"/>
        <scheme val="minor"/>
      </font>
    </dxf>
    <dxf>
      <font>
        <strike val="0"/>
        <outline val="0"/>
        <shadow val="0"/>
        <u val="none"/>
        <vertAlign val="baseline"/>
        <sz val="9"/>
        <name val="Calibri"/>
        <scheme val="minor"/>
      </font>
      <numFmt numFmtId="164" formatCode="_([$$-409]* #,##0.00_);_([$$-409]* \(#,##0.00\);_([$$-409]* &quot;-&quot;??_);_(@_)"/>
    </dxf>
    <dxf>
      <font>
        <strike val="0"/>
        <outline val="0"/>
        <shadow val="0"/>
        <u val="none"/>
        <vertAlign val="baseline"/>
        <sz val="9"/>
        <name val="Calibri"/>
        <scheme val="minor"/>
      </font>
      <numFmt numFmtId="164" formatCode="_([$$-409]* #,##0.00_);_([$$-409]* \(#,##0.00\);_([$$-409]* &quot;-&quot;??_);_(@_)"/>
    </dxf>
    <dxf>
      <font>
        <strike val="0"/>
        <outline val="0"/>
        <shadow val="0"/>
        <u val="none"/>
        <vertAlign val="baseline"/>
        <sz val="9"/>
        <name val="Calibri"/>
        <scheme val="minor"/>
      </font>
      <numFmt numFmtId="164" formatCode="_([$$-409]* #,##0.00_);_([$$-409]* \(#,##0.00\);_([$$-409]* &quot;-&quot;??_);_(@_)"/>
    </dxf>
    <dxf>
      <font>
        <strike val="0"/>
        <outline val="0"/>
        <shadow val="0"/>
        <u val="none"/>
        <vertAlign val="baseline"/>
        <sz val="9"/>
        <name val="Calibri"/>
        <scheme val="minor"/>
      </font>
      <numFmt numFmtId="164" formatCode="_([$$-409]* #,##0.00_);_([$$-409]* \(#,##0.00\);_([$$-409]* &quot;-&quot;??_);_(@_)"/>
    </dxf>
    <dxf>
      <font>
        <strike val="0"/>
        <outline val="0"/>
        <shadow val="0"/>
        <u val="none"/>
        <vertAlign val="baseline"/>
        <sz val="9"/>
        <name val="Calibri"/>
        <scheme val="minor"/>
      </font>
      <numFmt numFmtId="164" formatCode="_([$$-409]* #,##0.00_);_([$$-409]* \(#,##0.00\);_([$$-409]* &quot;-&quot;??_);_(@_)"/>
    </dxf>
    <dxf>
      <font>
        <strike val="0"/>
        <outline val="0"/>
        <shadow val="0"/>
        <u val="none"/>
        <vertAlign val="baseline"/>
        <sz val="9"/>
        <name val="Calibri"/>
        <scheme val="minor"/>
      </font>
    </dxf>
    <dxf>
      <font>
        <strike val="0"/>
        <outline val="0"/>
        <shadow val="0"/>
        <u val="none"/>
        <vertAlign val="baseline"/>
        <sz val="9"/>
        <name val="Calibri"/>
        <scheme val="minor"/>
      </font>
    </dxf>
    <dxf>
      <font>
        <strike val="0"/>
        <outline val="0"/>
        <shadow val="0"/>
        <u val="none"/>
        <vertAlign val="baseline"/>
        <sz val="9"/>
        <name val="Calibri"/>
        <scheme val="minor"/>
      </font>
    </dxf>
    <dxf>
      <font>
        <strike val="0"/>
        <outline val="0"/>
        <shadow val="0"/>
        <u val="none"/>
        <vertAlign val="baseline"/>
        <sz val="9"/>
        <name val="Calibri"/>
        <scheme val="minor"/>
      </font>
      <border diagonalUp="0" diagonalDown="0">
        <left style="medium">
          <color indexed="64"/>
        </left>
        <right/>
        <top/>
        <bottom/>
        <vertical/>
        <horizontal/>
      </border>
    </dxf>
    <dxf>
      <font>
        <strike val="0"/>
        <outline val="0"/>
        <shadow val="0"/>
        <u val="none"/>
        <vertAlign val="baseline"/>
        <sz val="9"/>
        <name val="Calibri"/>
        <scheme val="minor"/>
      </font>
    </dxf>
    <dxf>
      <border>
        <bottom style="medium">
          <color indexed="64"/>
        </bottom>
      </border>
    </dxf>
    <dxf>
      <font>
        <strike val="0"/>
        <outline val="0"/>
        <shadow val="0"/>
        <u val="none"/>
        <vertAlign val="baseline"/>
        <sz val="9"/>
        <name val="Calibri"/>
        <scheme val="minor"/>
      </font>
      <border diagonalUp="0" diagonalDown="0">
        <left/>
        <right/>
        <top/>
        <bottom/>
        <vertical/>
        <horizontal/>
      </border>
    </dxf>
  </dxfs>
  <tableStyles count="0" defaultTableStyle="TableStyleMedium2" defaultPivotStyle="PivotStyleLight16"/>
  <colors>
    <mruColors>
      <color rgb="FFFFFFC5"/>
      <color rgb="FFEEDDFF"/>
      <color rgb="FFBF9FFF"/>
      <color rgb="FFFFFFE5"/>
      <color rgb="FFF442F8"/>
      <color rgb="FF8618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Cash-Flow</a:t>
            </a:r>
            <a:r>
              <a:rPr lang="en-US" baseline="0"/>
              <a:t> Diagram - </a:t>
            </a:r>
            <a:r>
              <a:rPr lang="en-US" b="1" u="sng" baseline="0"/>
              <a:t>CASE A</a:t>
            </a:r>
            <a:endParaRPr lang="en-US" b="1" u="sng"/>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v>Initial Investment</c:v>
          </c:tx>
          <c:spPr>
            <a:ln w="19050" cap="rnd">
              <a:noFill/>
              <a:prstDash val="solid"/>
              <a:round/>
              <a:headEnd type="none"/>
            </a:ln>
            <a:effectLst/>
          </c:spPr>
          <c:marker>
            <c:symbol val="x"/>
            <c:size val="15"/>
            <c:spPr>
              <a:noFill/>
              <a:ln w="9525">
                <a:solidFill>
                  <a:schemeClr val="accent2"/>
                </a:solidFill>
              </a:ln>
              <a:effectLst/>
            </c:spPr>
          </c:marker>
          <c:xVal>
            <c:numRef>
              <c:f>'PID &amp; Cash Flow'!$T$5</c:f>
              <c:numCache>
                <c:formatCode>General</c:formatCode>
                <c:ptCount val="1"/>
                <c:pt idx="0">
                  <c:v>0</c:v>
                </c:pt>
              </c:numCache>
            </c:numRef>
          </c:xVal>
          <c:yVal>
            <c:numRef>
              <c:f>'PID &amp; Cash Flow'!$U$5</c:f>
              <c:numCache>
                <c:formatCode>_([$$-409]* #,##0.00_);_([$$-409]* \(#,##0.00\);_([$$-409]* "-"??_);_(@_)</c:formatCode>
                <c:ptCount val="1"/>
                <c:pt idx="0">
                  <c:v>0</c:v>
                </c:pt>
              </c:numCache>
            </c:numRef>
          </c:yVal>
          <c:smooth val="0"/>
          <c:extLst>
            <c:ext xmlns:c16="http://schemas.microsoft.com/office/drawing/2014/chart" uri="{C3380CC4-5D6E-409C-BE32-E72D297353CC}">
              <c16:uniqueId val="{00000004-1A59-4D47-BD35-0537CCF4C738}"/>
            </c:ext>
          </c:extLst>
        </c:ser>
        <c:ser>
          <c:idx val="0"/>
          <c:order val="1"/>
          <c:tx>
            <c:v>Electricity</c:v>
          </c:tx>
          <c:spPr>
            <a:ln w="19050" cap="rnd">
              <a:solidFill>
                <a:schemeClr val="accent1"/>
              </a:solidFill>
              <a:prstDash val="sysDash"/>
              <a:round/>
            </a:ln>
            <a:effectLst/>
          </c:spPr>
          <c:marker>
            <c:symbol val="none"/>
          </c:marker>
          <c:xVal>
            <c:numRef>
              <c:f>'PID &amp; Cash Flow'!$T$5:$T$22</c:f>
              <c:numCache>
                <c:formatCode>General</c:formatCode>
                <c:ptCount val="18"/>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pt idx="17">
                  <c:v>35</c:v>
                </c:pt>
              </c:numCache>
            </c:numRef>
          </c:xVal>
          <c:yVal>
            <c:numRef>
              <c:f>'PID &amp; Cash Flow'!$V$5:$V$22</c:f>
              <c:numCache>
                <c:formatCode>_([$$-409]* #,##0.00_);_([$$-409]* \(#,##0.00\);_([$$-409]* "-"??_);_(@_)</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1A59-4D47-BD35-0537CCF4C738}"/>
            </c:ext>
          </c:extLst>
        </c:ser>
        <c:ser>
          <c:idx val="3"/>
          <c:order val="2"/>
          <c:tx>
            <c:v>Resale Benefit</c:v>
          </c:tx>
          <c:spPr>
            <a:ln w="19050" cap="rnd">
              <a:solidFill>
                <a:schemeClr val="accent4"/>
              </a:solidFill>
              <a:round/>
            </a:ln>
            <a:effectLst/>
          </c:spPr>
          <c:marker>
            <c:symbol val="diamond"/>
            <c:size val="10"/>
            <c:spPr>
              <a:solidFill>
                <a:schemeClr val="accent4"/>
              </a:solidFill>
              <a:ln w="9525">
                <a:solidFill>
                  <a:schemeClr val="accent4"/>
                </a:solidFill>
              </a:ln>
              <a:effectLst/>
            </c:spPr>
          </c:marker>
          <c:xVal>
            <c:numRef>
              <c:f>'PID &amp; Cash Flow'!$T$22</c:f>
              <c:numCache>
                <c:formatCode>General</c:formatCode>
                <c:ptCount val="1"/>
                <c:pt idx="0">
                  <c:v>35</c:v>
                </c:pt>
              </c:numCache>
            </c:numRef>
          </c:xVal>
          <c:yVal>
            <c:numRef>
              <c:f>'PID &amp; Cash Flow'!$AC$22</c:f>
              <c:numCache>
                <c:formatCode>_([$$-409]* #,##0.00_);_([$$-409]* \(#,##0.00\);_([$$-409]* "-"??_);_(@_)</c:formatCode>
                <c:ptCount val="1"/>
                <c:pt idx="0">
                  <c:v>0</c:v>
                </c:pt>
              </c:numCache>
            </c:numRef>
          </c:yVal>
          <c:smooth val="0"/>
          <c:extLst>
            <c:ext xmlns:c16="http://schemas.microsoft.com/office/drawing/2014/chart" uri="{C3380CC4-5D6E-409C-BE32-E72D297353CC}">
              <c16:uniqueId val="{00000006-1A59-4D47-BD35-0537CCF4C738}"/>
            </c:ext>
          </c:extLst>
        </c:ser>
        <c:ser>
          <c:idx val="4"/>
          <c:order val="3"/>
          <c:tx>
            <c:v>Salvage Benefit</c:v>
          </c:tx>
          <c:spPr>
            <a:ln w="19050" cap="rnd">
              <a:solidFill>
                <a:schemeClr val="accent5"/>
              </a:solidFill>
              <a:round/>
            </a:ln>
            <a:effectLst/>
          </c:spPr>
          <c:marker>
            <c:symbol val="diamond"/>
            <c:size val="10"/>
            <c:spPr>
              <a:solidFill>
                <a:schemeClr val="accent5"/>
              </a:solidFill>
              <a:ln w="9525">
                <a:solidFill>
                  <a:schemeClr val="accent5"/>
                </a:solidFill>
              </a:ln>
              <a:effectLst/>
            </c:spPr>
          </c:marker>
          <c:xVal>
            <c:numRef>
              <c:f>'PID &amp; Cash Flow'!$T$22</c:f>
              <c:numCache>
                <c:formatCode>General</c:formatCode>
                <c:ptCount val="1"/>
                <c:pt idx="0">
                  <c:v>35</c:v>
                </c:pt>
              </c:numCache>
            </c:numRef>
          </c:xVal>
          <c:yVal>
            <c:numRef>
              <c:f>'PID &amp; Cash Flow'!$AD$22</c:f>
              <c:numCache>
                <c:formatCode>_([$$-409]* #,##0.00_);_([$$-409]* \(#,##0.00\);_([$$-409]* "-"??_);_(@_)</c:formatCode>
                <c:ptCount val="1"/>
                <c:pt idx="0">
                  <c:v>0</c:v>
                </c:pt>
              </c:numCache>
            </c:numRef>
          </c:yVal>
          <c:smooth val="0"/>
          <c:extLst>
            <c:ext xmlns:c16="http://schemas.microsoft.com/office/drawing/2014/chart" uri="{C3380CC4-5D6E-409C-BE32-E72D297353CC}">
              <c16:uniqueId val="{00000007-1A59-4D47-BD35-0537CCF4C738}"/>
            </c:ext>
          </c:extLst>
        </c:ser>
        <c:ser>
          <c:idx val="5"/>
          <c:order val="4"/>
          <c:tx>
            <c:v>Other One-Time Costs</c:v>
          </c:tx>
          <c:spPr>
            <a:ln w="19050" cap="rnd">
              <a:noFill/>
              <a:round/>
            </a:ln>
            <a:effectLst/>
          </c:spPr>
          <c:marker>
            <c:symbol val="square"/>
            <c:size val="10"/>
            <c:spPr>
              <a:solidFill>
                <a:schemeClr val="accent6"/>
              </a:solidFill>
              <a:ln w="9525">
                <a:solidFill>
                  <a:schemeClr val="accent6"/>
                </a:solidFill>
              </a:ln>
              <a:effectLst/>
            </c:spPr>
          </c:marker>
          <c:xVal>
            <c:numRef>
              <c:f>'PID &amp; Cash Flow'!$H$14:$H$18</c:f>
              <c:numCache>
                <c:formatCode>General</c:formatCode>
                <c:ptCount val="5"/>
              </c:numCache>
            </c:numRef>
          </c:xVal>
          <c:yVal>
            <c:numRef>
              <c:f>'PID &amp; Cash Flow'!$I$14:$I$18</c:f>
              <c:numCache>
                <c:formatCode>_([$$-409]* #,##0.00_);_([$$-409]* \(#,##0.00\);_([$$-409]* "-"??_);_(@_)</c:formatCode>
                <c:ptCount val="5"/>
              </c:numCache>
            </c:numRef>
          </c:yVal>
          <c:smooth val="0"/>
          <c:extLst>
            <c:ext xmlns:c16="http://schemas.microsoft.com/office/drawing/2014/chart" uri="{C3380CC4-5D6E-409C-BE32-E72D297353CC}">
              <c16:uniqueId val="{00000008-1A59-4D47-BD35-0537CCF4C738}"/>
            </c:ext>
          </c:extLst>
        </c:ser>
        <c:ser>
          <c:idx val="6"/>
          <c:order val="5"/>
          <c:tx>
            <c:v>Natural Gas</c:v>
          </c:tx>
          <c:spPr>
            <a:ln w="19050" cap="rnd">
              <a:solidFill>
                <a:srgbClr val="7030A0"/>
              </a:solidFill>
              <a:round/>
            </a:ln>
            <a:effectLst/>
          </c:spPr>
          <c:marker>
            <c:symbol val="none"/>
          </c:marker>
          <c:xVal>
            <c:numRef>
              <c:f>'PID &amp; Cash Flow'!$T$5:$T$22</c:f>
              <c:numCache>
                <c:formatCode>General</c:formatCode>
                <c:ptCount val="18"/>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pt idx="17">
                  <c:v>35</c:v>
                </c:pt>
              </c:numCache>
            </c:numRef>
          </c:xVal>
          <c:yVal>
            <c:numRef>
              <c:f>'PID &amp; Cash Flow'!$X$5:$X$22</c:f>
              <c:numCache>
                <c:formatCode>_([$$-409]* #,##0.00_);_([$$-409]* \(#,##0.00\);_([$$-409]* "-"??_);_(@_)</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B-1A59-4D47-BD35-0537CCF4C738}"/>
            </c:ext>
          </c:extLst>
        </c:ser>
        <c:ser>
          <c:idx val="2"/>
          <c:order val="6"/>
          <c:tx>
            <c:v>OM&amp;R</c:v>
          </c:tx>
          <c:spPr>
            <a:ln w="47625" cap="rnd">
              <a:solidFill>
                <a:schemeClr val="accent3"/>
              </a:solidFill>
              <a:prstDash val="sysDot"/>
              <a:round/>
            </a:ln>
            <a:effectLst/>
          </c:spPr>
          <c:marker>
            <c:symbol val="none"/>
          </c:marker>
          <c:xVal>
            <c:numRef>
              <c:f>'PID &amp; Cash Flow'!$T$5:$T$21</c:f>
              <c:numCache>
                <c:formatCode>General</c:formatCode>
                <c:ptCount val="17"/>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numCache>
            </c:numRef>
          </c:xVal>
          <c:yVal>
            <c:numRef>
              <c:f>'PID &amp; Cash Flow'!$W$5:$W$21</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0-5CF3-456B-A3C3-BB41A4330BE7}"/>
            </c:ext>
          </c:extLst>
        </c:ser>
        <c:ser>
          <c:idx val="10"/>
          <c:order val="7"/>
          <c:tx>
            <c:v>Water</c:v>
          </c:tx>
          <c:spPr>
            <a:ln w="38100" cap="rnd">
              <a:solidFill>
                <a:srgbClr val="F442F8"/>
              </a:solidFill>
              <a:round/>
            </a:ln>
            <a:effectLst/>
          </c:spPr>
          <c:marker>
            <c:symbol val="none"/>
          </c:marker>
          <c:xVal>
            <c:numRef>
              <c:f>'PID &amp; Cash Flow'!$T$5:$T$21</c:f>
              <c:numCache>
                <c:formatCode>General</c:formatCode>
                <c:ptCount val="17"/>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numCache>
            </c:numRef>
          </c:xVal>
          <c:yVal>
            <c:numRef>
              <c:f>'PID &amp; Cash Flow'!$Y$5:$Y$21</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8E67-492C-BF0C-1A403768D239}"/>
            </c:ext>
          </c:extLst>
        </c:ser>
        <c:ser>
          <c:idx val="7"/>
          <c:order val="8"/>
          <c:tx>
            <c:strRef>
              <c:f>'PID &amp; Cash Flow'!$G$11</c:f>
              <c:strCache>
                <c:ptCount val="1"/>
              </c:strCache>
            </c:strRef>
          </c:tx>
          <c:spPr>
            <a:ln w="19050" cap="rnd">
              <a:solidFill>
                <a:srgbClr val="C00000"/>
              </a:solidFill>
              <a:prstDash val="sysDot"/>
              <a:round/>
            </a:ln>
            <a:effectLst/>
          </c:spPr>
          <c:marker>
            <c:symbol val="none"/>
          </c:marker>
          <c:xVal>
            <c:numRef>
              <c:f>'PID &amp; Cash Flow'!$T$5:$T$21</c:f>
              <c:numCache>
                <c:formatCode>General</c:formatCode>
                <c:ptCount val="17"/>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numCache>
            </c:numRef>
          </c:xVal>
          <c:yVal>
            <c:numRef>
              <c:f>'PID &amp; Cash Flow'!$Z$5:$Z$21</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D-1A59-4D47-BD35-0537CCF4C738}"/>
            </c:ext>
          </c:extLst>
        </c:ser>
        <c:ser>
          <c:idx val="8"/>
          <c:order val="9"/>
          <c:tx>
            <c:strRef>
              <c:f>'PID &amp; Cash Flow'!$G$12</c:f>
              <c:strCache>
                <c:ptCount val="1"/>
              </c:strCache>
            </c:strRef>
          </c:tx>
          <c:spPr>
            <a:ln w="19050" cap="rnd">
              <a:solidFill>
                <a:schemeClr val="accent3">
                  <a:lumMod val="60000"/>
                </a:schemeClr>
              </a:solidFill>
              <a:prstDash val="lgDashDotDot"/>
              <a:round/>
            </a:ln>
            <a:effectLst/>
          </c:spPr>
          <c:marker>
            <c:symbol val="none"/>
          </c:marker>
          <c:xVal>
            <c:numRef>
              <c:f>'PID &amp; Cash Flow'!$T$5:$T$22</c:f>
              <c:numCache>
                <c:formatCode>General</c:formatCode>
                <c:ptCount val="18"/>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pt idx="17">
                  <c:v>35</c:v>
                </c:pt>
              </c:numCache>
            </c:numRef>
          </c:xVal>
          <c:yVal>
            <c:numRef>
              <c:f>'PID &amp; Cash Flow'!$AA$5:$AA$21</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E-1A59-4D47-BD35-0537CCF4C738}"/>
            </c:ext>
          </c:extLst>
        </c:ser>
        <c:ser>
          <c:idx val="9"/>
          <c:order val="10"/>
          <c:tx>
            <c:strRef>
              <c:f>'PID &amp; Cash Flow'!$G$13</c:f>
              <c:strCache>
                <c:ptCount val="1"/>
              </c:strCache>
            </c:strRef>
          </c:tx>
          <c:spPr>
            <a:ln w="19050" cap="rnd">
              <a:solidFill>
                <a:schemeClr val="accent4">
                  <a:lumMod val="75000"/>
                </a:schemeClr>
              </a:solidFill>
              <a:prstDash val="lgDash"/>
              <a:round/>
            </a:ln>
            <a:effectLst/>
          </c:spPr>
          <c:marker>
            <c:symbol val="none"/>
          </c:marker>
          <c:xVal>
            <c:numRef>
              <c:f>'PID &amp; Cash Flow'!$T$5:$T$21</c:f>
              <c:numCache>
                <c:formatCode>General</c:formatCode>
                <c:ptCount val="17"/>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numCache>
            </c:numRef>
          </c:xVal>
          <c:yVal>
            <c:numRef>
              <c:f>'PID &amp; Cash Flow'!$AB$5:$AB$21</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F-1A59-4D47-BD35-0537CCF4C738}"/>
            </c:ext>
          </c:extLst>
        </c:ser>
        <c:dLbls>
          <c:showLegendKey val="0"/>
          <c:showVal val="0"/>
          <c:showCatName val="0"/>
          <c:showSerName val="0"/>
          <c:showPercent val="0"/>
          <c:showBubbleSize val="0"/>
        </c:dLbls>
        <c:axId val="398074432"/>
        <c:axId val="398075416"/>
      </c:scatterChart>
      <c:valAx>
        <c:axId val="398074432"/>
        <c:scaling>
          <c:orientation val="minMax"/>
          <c:max val="3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Years</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8075416"/>
        <c:crosses val="autoZero"/>
        <c:crossBetween val="midCat"/>
      </c:valAx>
      <c:valAx>
        <c:axId val="39807541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in Thousands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8074432"/>
        <c:crosses val="autoZero"/>
        <c:crossBetween val="midCat"/>
      </c:valAx>
      <c:spPr>
        <a:noFill/>
        <a:ln>
          <a:noFill/>
        </a:ln>
        <a:effectLst/>
      </c:spPr>
    </c:plotArea>
    <c:legend>
      <c:legendPos val="t"/>
      <c:legendEntry>
        <c:idx val="2"/>
        <c:delete val="1"/>
      </c:legendEntry>
      <c:legendEntry>
        <c:idx val="3"/>
        <c:delete val="1"/>
      </c:legendEntry>
      <c:layout>
        <c:manualLayout>
          <c:xMode val="edge"/>
          <c:yMode val="edge"/>
          <c:x val="0.12250995759019134"/>
          <c:y val="9.891832393000477E-2"/>
          <c:w val="0.83921729969389325"/>
          <c:h val="0.151430280861991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Cash-Flow</a:t>
            </a:r>
            <a:r>
              <a:rPr lang="en-US" baseline="0"/>
              <a:t> Diagram - </a:t>
            </a:r>
            <a:r>
              <a:rPr lang="en-US" b="1" u="sng" baseline="0"/>
              <a:t>CASE B</a:t>
            </a:r>
            <a:endParaRPr lang="en-US" b="1" u="sng"/>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v>Initial Investment</c:v>
          </c:tx>
          <c:spPr>
            <a:ln w="19050" cap="rnd">
              <a:noFill/>
              <a:round/>
            </a:ln>
            <a:effectLst/>
          </c:spPr>
          <c:marker>
            <c:symbol val="x"/>
            <c:size val="15"/>
            <c:spPr>
              <a:noFill/>
              <a:ln w="9525">
                <a:solidFill>
                  <a:schemeClr val="accent2"/>
                </a:solidFill>
              </a:ln>
              <a:effectLst/>
            </c:spPr>
          </c:marker>
          <c:xVal>
            <c:numRef>
              <c:f>'PID &amp; Cash Flow'!$T$50</c:f>
              <c:numCache>
                <c:formatCode>General</c:formatCode>
                <c:ptCount val="1"/>
                <c:pt idx="0">
                  <c:v>0</c:v>
                </c:pt>
              </c:numCache>
            </c:numRef>
          </c:xVal>
          <c:yVal>
            <c:numRef>
              <c:f>'PID &amp; Cash Flow'!$U$50</c:f>
              <c:numCache>
                <c:formatCode>_([$$-409]* #,##0.00_);_([$$-409]* \(#,##0.00\);_([$$-409]* "-"??_);_(@_)</c:formatCode>
                <c:ptCount val="1"/>
                <c:pt idx="0">
                  <c:v>0</c:v>
                </c:pt>
              </c:numCache>
            </c:numRef>
          </c:yVal>
          <c:smooth val="0"/>
          <c:extLst>
            <c:ext xmlns:c16="http://schemas.microsoft.com/office/drawing/2014/chart" uri="{C3380CC4-5D6E-409C-BE32-E72D297353CC}">
              <c16:uniqueId val="{00000001-25C7-4864-B77F-2F555CBFAC63}"/>
            </c:ext>
          </c:extLst>
        </c:ser>
        <c:ser>
          <c:idx val="0"/>
          <c:order val="1"/>
          <c:tx>
            <c:v>Electricity</c:v>
          </c:tx>
          <c:spPr>
            <a:ln w="19050" cap="rnd">
              <a:solidFill>
                <a:schemeClr val="accent1"/>
              </a:solidFill>
              <a:prstDash val="sysDash"/>
              <a:round/>
            </a:ln>
            <a:effectLst/>
          </c:spPr>
          <c:marker>
            <c:symbol val="none"/>
          </c:marker>
          <c:xVal>
            <c:numRef>
              <c:f>'PID &amp; Cash Flow'!$T$50:$T$67</c:f>
              <c:numCache>
                <c:formatCode>General</c:formatCode>
                <c:ptCount val="18"/>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pt idx="17">
                  <c:v>35</c:v>
                </c:pt>
              </c:numCache>
            </c:numRef>
          </c:xVal>
          <c:yVal>
            <c:numRef>
              <c:f>'PID &amp; Cash Flow'!$V$50:$V$68</c:f>
              <c:numCache>
                <c:formatCode>_([$$-409]* #,##0.00_);_([$$-409]* \(#,##0.00\);_([$$-409]* "-"??_);_(@_)</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0-25C7-4864-B77F-2F555CBFAC63}"/>
            </c:ext>
          </c:extLst>
        </c:ser>
        <c:ser>
          <c:idx val="3"/>
          <c:order val="2"/>
          <c:tx>
            <c:v>Resale Benefit</c:v>
          </c:tx>
          <c:spPr>
            <a:ln w="19050" cap="rnd">
              <a:solidFill>
                <a:schemeClr val="accent4"/>
              </a:solidFill>
              <a:round/>
            </a:ln>
            <a:effectLst/>
          </c:spPr>
          <c:marker>
            <c:symbol val="diamond"/>
            <c:size val="10"/>
            <c:spPr>
              <a:solidFill>
                <a:schemeClr val="accent4"/>
              </a:solidFill>
              <a:ln w="9525">
                <a:solidFill>
                  <a:schemeClr val="accent4"/>
                </a:solidFill>
              </a:ln>
              <a:effectLst/>
            </c:spPr>
          </c:marker>
          <c:xVal>
            <c:numRef>
              <c:f>'PID &amp; Cash Flow'!$T$67</c:f>
              <c:numCache>
                <c:formatCode>General</c:formatCode>
                <c:ptCount val="1"/>
                <c:pt idx="0">
                  <c:v>35</c:v>
                </c:pt>
              </c:numCache>
            </c:numRef>
          </c:xVal>
          <c:yVal>
            <c:numRef>
              <c:f>'PID &amp; Cash Flow'!$AB$67</c:f>
              <c:numCache>
                <c:formatCode>_([$$-409]* #,##0.00_);_([$$-409]* \(#,##0.00\);_([$$-409]* "-"??_);_(@_)</c:formatCode>
                <c:ptCount val="1"/>
                <c:pt idx="0">
                  <c:v>0</c:v>
                </c:pt>
              </c:numCache>
            </c:numRef>
          </c:yVal>
          <c:smooth val="0"/>
          <c:extLst>
            <c:ext xmlns:c16="http://schemas.microsoft.com/office/drawing/2014/chart" uri="{C3380CC4-5D6E-409C-BE32-E72D297353CC}">
              <c16:uniqueId val="{00000003-25C7-4864-B77F-2F555CBFAC63}"/>
            </c:ext>
          </c:extLst>
        </c:ser>
        <c:ser>
          <c:idx val="4"/>
          <c:order val="3"/>
          <c:tx>
            <c:v>Salvage Benefit</c:v>
          </c:tx>
          <c:spPr>
            <a:ln w="19050" cap="rnd">
              <a:solidFill>
                <a:schemeClr val="accent5"/>
              </a:solidFill>
              <a:round/>
            </a:ln>
            <a:effectLst/>
          </c:spPr>
          <c:marker>
            <c:symbol val="diamond"/>
            <c:size val="10"/>
            <c:spPr>
              <a:solidFill>
                <a:schemeClr val="accent5"/>
              </a:solidFill>
              <a:ln w="9525">
                <a:solidFill>
                  <a:schemeClr val="accent5"/>
                </a:solidFill>
              </a:ln>
              <a:effectLst/>
            </c:spPr>
          </c:marker>
          <c:xVal>
            <c:numRef>
              <c:f>'PID &amp; Cash Flow'!$T$67</c:f>
              <c:numCache>
                <c:formatCode>General</c:formatCode>
                <c:ptCount val="1"/>
                <c:pt idx="0">
                  <c:v>35</c:v>
                </c:pt>
              </c:numCache>
            </c:numRef>
          </c:xVal>
          <c:yVal>
            <c:numRef>
              <c:f>'PID &amp; Cash Flow'!$AC$67</c:f>
              <c:numCache>
                <c:formatCode>_([$$-409]* #,##0.00_);_([$$-409]* \(#,##0.00\);_([$$-409]* "-"??_);_(@_)</c:formatCode>
                <c:ptCount val="1"/>
                <c:pt idx="0">
                  <c:v>0</c:v>
                </c:pt>
              </c:numCache>
            </c:numRef>
          </c:yVal>
          <c:smooth val="0"/>
          <c:extLst>
            <c:ext xmlns:c16="http://schemas.microsoft.com/office/drawing/2014/chart" uri="{C3380CC4-5D6E-409C-BE32-E72D297353CC}">
              <c16:uniqueId val="{00000004-25C7-4864-B77F-2F555CBFAC63}"/>
            </c:ext>
          </c:extLst>
        </c:ser>
        <c:ser>
          <c:idx val="5"/>
          <c:order val="4"/>
          <c:tx>
            <c:v>Other One-Time Costs</c:v>
          </c:tx>
          <c:spPr>
            <a:ln w="19050" cap="rnd">
              <a:noFill/>
              <a:round/>
            </a:ln>
            <a:effectLst/>
          </c:spPr>
          <c:marker>
            <c:symbol val="square"/>
            <c:size val="10"/>
            <c:spPr>
              <a:solidFill>
                <a:schemeClr val="accent6"/>
              </a:solidFill>
              <a:ln w="9525">
                <a:solidFill>
                  <a:schemeClr val="accent6"/>
                </a:solidFill>
              </a:ln>
              <a:effectLst/>
            </c:spPr>
          </c:marker>
          <c:xVal>
            <c:numRef>
              <c:f>'PID &amp; Cash Flow'!$H$56:$H$62</c:f>
              <c:numCache>
                <c:formatCode>General</c:formatCode>
                <c:ptCount val="7"/>
              </c:numCache>
            </c:numRef>
          </c:xVal>
          <c:yVal>
            <c:numRef>
              <c:f>'PID &amp; Cash Flow'!$I$56:$I$62</c:f>
              <c:numCache>
                <c:formatCode>_([$$-409]* #,##0.00_);_([$$-409]* \(#,##0.00\);_([$$-409]* "-"??_);_(@_)</c:formatCode>
                <c:ptCount val="7"/>
              </c:numCache>
            </c:numRef>
          </c:yVal>
          <c:smooth val="0"/>
          <c:extLst>
            <c:ext xmlns:c16="http://schemas.microsoft.com/office/drawing/2014/chart" uri="{C3380CC4-5D6E-409C-BE32-E72D297353CC}">
              <c16:uniqueId val="{00000005-25C7-4864-B77F-2F555CBFAC63}"/>
            </c:ext>
          </c:extLst>
        </c:ser>
        <c:ser>
          <c:idx val="10"/>
          <c:order val="5"/>
          <c:tx>
            <c:v>Natural Gas</c:v>
          </c:tx>
          <c:spPr>
            <a:ln w="19050" cap="rnd">
              <a:solidFill>
                <a:srgbClr val="7030A0"/>
              </a:solidFill>
              <a:round/>
            </a:ln>
            <a:effectLst/>
          </c:spPr>
          <c:marker>
            <c:symbol val="none"/>
          </c:marker>
          <c:xVal>
            <c:numRef>
              <c:f>'PID &amp; Cash Flow'!$T$50:$T$66</c:f>
              <c:numCache>
                <c:formatCode>General</c:formatCode>
                <c:ptCount val="17"/>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numCache>
            </c:numRef>
          </c:xVal>
          <c:yVal>
            <c:numRef>
              <c:f>'PID &amp; Cash Flow'!$AD$50:$AD$66</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0-BA49-4DF6-83C9-64FF1E3EBA6C}"/>
            </c:ext>
          </c:extLst>
        </c:ser>
        <c:ser>
          <c:idx val="2"/>
          <c:order val="6"/>
          <c:tx>
            <c:v>OM&amp;R</c:v>
          </c:tx>
          <c:spPr>
            <a:ln w="47625" cap="rnd">
              <a:solidFill>
                <a:schemeClr val="accent3"/>
              </a:solidFill>
              <a:prstDash val="sysDot"/>
              <a:round/>
            </a:ln>
            <a:effectLst/>
          </c:spPr>
          <c:marker>
            <c:symbol val="none"/>
          </c:marker>
          <c:xVal>
            <c:numRef>
              <c:f>'PID &amp; Cash Flow'!$T$50:$T$66</c:f>
              <c:numCache>
                <c:formatCode>General</c:formatCode>
                <c:ptCount val="17"/>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numCache>
            </c:numRef>
          </c:xVal>
          <c:yVal>
            <c:numRef>
              <c:f>'PID &amp; Cash Flow'!$W$50:$W$66</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0-2E15-4234-B88A-B0B2BD70F819}"/>
            </c:ext>
          </c:extLst>
        </c:ser>
        <c:ser>
          <c:idx val="9"/>
          <c:order val="7"/>
          <c:tx>
            <c:v>Water</c:v>
          </c:tx>
          <c:spPr>
            <a:ln w="38100" cap="rnd">
              <a:solidFill>
                <a:srgbClr val="F442F8"/>
              </a:solidFill>
              <a:round/>
            </a:ln>
            <a:effectLst/>
          </c:spPr>
          <c:marker>
            <c:symbol val="none"/>
          </c:marker>
          <c:xVal>
            <c:numRef>
              <c:f>'PID &amp; Cash Flow'!$T$50:$T$66</c:f>
              <c:numCache>
                <c:formatCode>General</c:formatCode>
                <c:ptCount val="17"/>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numCache>
            </c:numRef>
          </c:xVal>
          <c:yVal>
            <c:numRef>
              <c:f>'PID &amp; Cash Flow'!$X$50:$X$66</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0-7466-47A2-AFA8-A8BFEE15D5CA}"/>
            </c:ext>
          </c:extLst>
        </c:ser>
        <c:ser>
          <c:idx val="6"/>
          <c:order val="8"/>
          <c:tx>
            <c:strRef>
              <c:f>'PID &amp; Cash Flow'!$G$53</c:f>
              <c:strCache>
                <c:ptCount val="1"/>
              </c:strCache>
            </c:strRef>
          </c:tx>
          <c:spPr>
            <a:ln w="19050" cap="rnd">
              <a:solidFill>
                <a:srgbClr val="C00000"/>
              </a:solidFill>
              <a:prstDash val="sysDot"/>
              <a:round/>
            </a:ln>
            <a:effectLst/>
          </c:spPr>
          <c:marker>
            <c:symbol val="none"/>
          </c:marker>
          <c:xVal>
            <c:numRef>
              <c:f>'PID &amp; Cash Flow'!$T$50:$T$66</c:f>
              <c:numCache>
                <c:formatCode>General</c:formatCode>
                <c:ptCount val="17"/>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numCache>
            </c:numRef>
          </c:xVal>
          <c:yVal>
            <c:numRef>
              <c:f>'PID &amp; Cash Flow'!$Y$50:$Y$66</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9-25C7-4864-B77F-2F555CBFAC63}"/>
            </c:ext>
          </c:extLst>
        </c:ser>
        <c:ser>
          <c:idx val="7"/>
          <c:order val="9"/>
          <c:tx>
            <c:strRef>
              <c:f>'PID &amp; Cash Flow'!$G$54</c:f>
              <c:strCache>
                <c:ptCount val="1"/>
              </c:strCache>
            </c:strRef>
          </c:tx>
          <c:spPr>
            <a:ln w="19050" cap="rnd">
              <a:solidFill>
                <a:schemeClr val="bg1">
                  <a:lumMod val="50000"/>
                </a:schemeClr>
              </a:solidFill>
              <a:prstDash val="lgDashDotDot"/>
              <a:round/>
            </a:ln>
            <a:effectLst/>
          </c:spPr>
          <c:marker>
            <c:symbol val="none"/>
          </c:marker>
          <c:xVal>
            <c:numRef>
              <c:f>'PID &amp; Cash Flow'!$T$50:$T$66</c:f>
              <c:numCache>
                <c:formatCode>General</c:formatCode>
                <c:ptCount val="17"/>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numCache>
            </c:numRef>
          </c:xVal>
          <c:yVal>
            <c:numRef>
              <c:f>'PID &amp; Cash Flow'!$Z$50:$Z$66</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A-25C7-4864-B77F-2F555CBFAC63}"/>
            </c:ext>
          </c:extLst>
        </c:ser>
        <c:ser>
          <c:idx val="8"/>
          <c:order val="10"/>
          <c:tx>
            <c:strRef>
              <c:f>'PID &amp; Cash Flow'!$G$55</c:f>
              <c:strCache>
                <c:ptCount val="1"/>
              </c:strCache>
            </c:strRef>
          </c:tx>
          <c:spPr>
            <a:ln w="19050" cap="rnd">
              <a:solidFill>
                <a:schemeClr val="accent4">
                  <a:lumMod val="75000"/>
                </a:schemeClr>
              </a:solidFill>
              <a:prstDash val="lgDash"/>
              <a:round/>
            </a:ln>
            <a:effectLst/>
          </c:spPr>
          <c:marker>
            <c:symbol val="none"/>
          </c:marker>
          <c:xVal>
            <c:numRef>
              <c:f>'PID &amp; Cash Flow'!$T$50:$T$67</c:f>
              <c:numCache>
                <c:formatCode>General</c:formatCode>
                <c:ptCount val="18"/>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pt idx="17">
                  <c:v>35</c:v>
                </c:pt>
              </c:numCache>
            </c:numRef>
          </c:xVal>
          <c:yVal>
            <c:numRef>
              <c:f>'PID &amp; Cash Flow'!$AA$50:$AA$66</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B-25C7-4864-B77F-2F555CBFAC63}"/>
            </c:ext>
          </c:extLst>
        </c:ser>
        <c:dLbls>
          <c:showLegendKey val="0"/>
          <c:showVal val="0"/>
          <c:showCatName val="0"/>
          <c:showSerName val="0"/>
          <c:showPercent val="0"/>
          <c:showBubbleSize val="0"/>
        </c:dLbls>
        <c:axId val="398074432"/>
        <c:axId val="398075416"/>
      </c:scatterChart>
      <c:valAx>
        <c:axId val="398074432"/>
        <c:scaling>
          <c:orientation val="minMax"/>
          <c:max val="3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Years</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8075416"/>
        <c:crosses val="autoZero"/>
        <c:crossBetween val="midCat"/>
      </c:valAx>
      <c:valAx>
        <c:axId val="39807541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in Thousands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409]* #,##0_);_([$$-409]* \(#,##0\);_([$$-409]* &quot;-&quot;_);_(@_)"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8074432"/>
        <c:crosses val="autoZero"/>
        <c:crossBetween val="midCat"/>
      </c:valAx>
      <c:spPr>
        <a:noFill/>
        <a:ln>
          <a:noFill/>
        </a:ln>
        <a:effectLst/>
      </c:spPr>
    </c:plotArea>
    <c:legend>
      <c:legendPos val="t"/>
      <c:legendEntry>
        <c:idx val="2"/>
        <c:delete val="1"/>
      </c:legendEntry>
      <c:legendEntry>
        <c:idx val="3"/>
        <c:delete val="1"/>
      </c:legendEntry>
      <c:layout>
        <c:manualLayout>
          <c:xMode val="edge"/>
          <c:yMode val="edge"/>
          <c:x val="0.11450329822376216"/>
          <c:y val="9.2531238840098701E-2"/>
          <c:w val="0.84327727111825279"/>
          <c:h val="0.1675593071942117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Cash-Flow</a:t>
            </a:r>
            <a:r>
              <a:rPr lang="en-US" baseline="0"/>
              <a:t> Diagram - </a:t>
            </a:r>
            <a:r>
              <a:rPr lang="en-US" b="1" u="sng" baseline="0"/>
              <a:t>CASE A</a:t>
            </a:r>
            <a:endParaRPr lang="en-US" b="1" u="sng"/>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v>Initial Investment</c:v>
          </c:tx>
          <c:spPr>
            <a:ln w="19050" cap="rnd">
              <a:noFill/>
              <a:prstDash val="solid"/>
              <a:round/>
              <a:headEnd type="none"/>
            </a:ln>
            <a:effectLst/>
          </c:spPr>
          <c:marker>
            <c:symbol val="x"/>
            <c:size val="15"/>
            <c:spPr>
              <a:noFill/>
              <a:ln w="9525">
                <a:solidFill>
                  <a:schemeClr val="accent2"/>
                </a:solidFill>
              </a:ln>
              <a:effectLst/>
            </c:spPr>
          </c:marker>
          <c:xVal>
            <c:numRef>
              <c:f>'PID &amp; Cash Flow'!$T$5</c:f>
              <c:numCache>
                <c:formatCode>General</c:formatCode>
                <c:ptCount val="1"/>
                <c:pt idx="0">
                  <c:v>0</c:v>
                </c:pt>
              </c:numCache>
            </c:numRef>
          </c:xVal>
          <c:yVal>
            <c:numRef>
              <c:f>'PID &amp; Cash Flow'!$U$5</c:f>
              <c:numCache>
                <c:formatCode>_([$$-409]* #,##0.00_);_([$$-409]* \(#,##0.00\);_([$$-409]* "-"??_);_(@_)</c:formatCode>
                <c:ptCount val="1"/>
                <c:pt idx="0">
                  <c:v>0</c:v>
                </c:pt>
              </c:numCache>
            </c:numRef>
          </c:yVal>
          <c:smooth val="0"/>
          <c:extLst>
            <c:ext xmlns:c16="http://schemas.microsoft.com/office/drawing/2014/chart" uri="{C3380CC4-5D6E-409C-BE32-E72D297353CC}">
              <c16:uniqueId val="{00000000-53C7-4120-A98F-62AB38F9FA7F}"/>
            </c:ext>
          </c:extLst>
        </c:ser>
        <c:ser>
          <c:idx val="0"/>
          <c:order val="1"/>
          <c:tx>
            <c:v>Electricity</c:v>
          </c:tx>
          <c:spPr>
            <a:ln w="19050" cap="rnd">
              <a:solidFill>
                <a:schemeClr val="accent1"/>
              </a:solidFill>
              <a:prstDash val="sysDash"/>
              <a:round/>
            </a:ln>
            <a:effectLst/>
          </c:spPr>
          <c:marker>
            <c:symbol val="none"/>
          </c:marker>
          <c:xVal>
            <c:numRef>
              <c:f>'PID &amp; Cash Flow'!$T$5:$T$22</c:f>
              <c:numCache>
                <c:formatCode>General</c:formatCode>
                <c:ptCount val="18"/>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pt idx="17">
                  <c:v>35</c:v>
                </c:pt>
              </c:numCache>
            </c:numRef>
          </c:xVal>
          <c:yVal>
            <c:numRef>
              <c:f>'PID &amp; Cash Flow'!$V$5:$V$22</c:f>
              <c:numCache>
                <c:formatCode>_([$$-409]* #,##0.00_);_([$$-409]* \(#,##0.00\);_([$$-409]* "-"??_);_(@_)</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53C7-4120-A98F-62AB38F9FA7F}"/>
            </c:ext>
          </c:extLst>
        </c:ser>
        <c:ser>
          <c:idx val="3"/>
          <c:order val="2"/>
          <c:tx>
            <c:v>Resale Benefit</c:v>
          </c:tx>
          <c:spPr>
            <a:ln w="19050" cap="rnd">
              <a:solidFill>
                <a:schemeClr val="accent4"/>
              </a:solidFill>
              <a:round/>
            </a:ln>
            <a:effectLst/>
          </c:spPr>
          <c:marker>
            <c:symbol val="diamond"/>
            <c:size val="10"/>
            <c:spPr>
              <a:solidFill>
                <a:schemeClr val="accent4"/>
              </a:solidFill>
              <a:ln w="9525">
                <a:solidFill>
                  <a:schemeClr val="accent4"/>
                </a:solidFill>
              </a:ln>
              <a:effectLst/>
            </c:spPr>
          </c:marker>
          <c:xVal>
            <c:numRef>
              <c:f>'PID &amp; Cash Flow'!$T$22</c:f>
              <c:numCache>
                <c:formatCode>General</c:formatCode>
                <c:ptCount val="1"/>
                <c:pt idx="0">
                  <c:v>35</c:v>
                </c:pt>
              </c:numCache>
            </c:numRef>
          </c:xVal>
          <c:yVal>
            <c:numRef>
              <c:f>'PID &amp; Cash Flow'!$AC$22</c:f>
              <c:numCache>
                <c:formatCode>_([$$-409]* #,##0.00_);_([$$-409]* \(#,##0.00\);_([$$-409]* "-"??_);_(@_)</c:formatCode>
                <c:ptCount val="1"/>
                <c:pt idx="0">
                  <c:v>0</c:v>
                </c:pt>
              </c:numCache>
            </c:numRef>
          </c:yVal>
          <c:smooth val="0"/>
          <c:extLst>
            <c:ext xmlns:c16="http://schemas.microsoft.com/office/drawing/2014/chart" uri="{C3380CC4-5D6E-409C-BE32-E72D297353CC}">
              <c16:uniqueId val="{00000002-53C7-4120-A98F-62AB38F9FA7F}"/>
            </c:ext>
          </c:extLst>
        </c:ser>
        <c:ser>
          <c:idx val="4"/>
          <c:order val="3"/>
          <c:tx>
            <c:v>Salvage Benefit</c:v>
          </c:tx>
          <c:spPr>
            <a:ln w="19050" cap="rnd">
              <a:solidFill>
                <a:schemeClr val="accent5"/>
              </a:solidFill>
              <a:round/>
            </a:ln>
            <a:effectLst/>
          </c:spPr>
          <c:marker>
            <c:symbol val="diamond"/>
            <c:size val="10"/>
            <c:spPr>
              <a:solidFill>
                <a:schemeClr val="accent5"/>
              </a:solidFill>
              <a:ln w="9525">
                <a:solidFill>
                  <a:schemeClr val="accent5"/>
                </a:solidFill>
              </a:ln>
              <a:effectLst/>
            </c:spPr>
          </c:marker>
          <c:xVal>
            <c:numRef>
              <c:f>'PID &amp; Cash Flow'!$T$22</c:f>
              <c:numCache>
                <c:formatCode>General</c:formatCode>
                <c:ptCount val="1"/>
                <c:pt idx="0">
                  <c:v>35</c:v>
                </c:pt>
              </c:numCache>
            </c:numRef>
          </c:xVal>
          <c:yVal>
            <c:numRef>
              <c:f>'PID &amp; Cash Flow'!$AD$22</c:f>
              <c:numCache>
                <c:formatCode>_([$$-409]* #,##0.00_);_([$$-409]* \(#,##0.00\);_([$$-409]* "-"??_);_(@_)</c:formatCode>
                <c:ptCount val="1"/>
                <c:pt idx="0">
                  <c:v>0</c:v>
                </c:pt>
              </c:numCache>
            </c:numRef>
          </c:yVal>
          <c:smooth val="0"/>
          <c:extLst>
            <c:ext xmlns:c16="http://schemas.microsoft.com/office/drawing/2014/chart" uri="{C3380CC4-5D6E-409C-BE32-E72D297353CC}">
              <c16:uniqueId val="{00000003-53C7-4120-A98F-62AB38F9FA7F}"/>
            </c:ext>
          </c:extLst>
        </c:ser>
        <c:ser>
          <c:idx val="5"/>
          <c:order val="4"/>
          <c:tx>
            <c:v>Other One-Time Costs</c:v>
          </c:tx>
          <c:spPr>
            <a:ln w="19050" cap="rnd">
              <a:noFill/>
              <a:round/>
            </a:ln>
            <a:effectLst/>
          </c:spPr>
          <c:marker>
            <c:symbol val="square"/>
            <c:size val="10"/>
            <c:spPr>
              <a:solidFill>
                <a:schemeClr val="accent6"/>
              </a:solidFill>
              <a:ln w="9525">
                <a:solidFill>
                  <a:schemeClr val="accent6"/>
                </a:solidFill>
              </a:ln>
              <a:effectLst/>
            </c:spPr>
          </c:marker>
          <c:xVal>
            <c:numRef>
              <c:f>'PID &amp; Cash Flow'!$H$14:$H$18</c:f>
              <c:numCache>
                <c:formatCode>General</c:formatCode>
                <c:ptCount val="5"/>
              </c:numCache>
            </c:numRef>
          </c:xVal>
          <c:yVal>
            <c:numRef>
              <c:f>'PID &amp; Cash Flow'!$I$14:$I$18</c:f>
              <c:numCache>
                <c:formatCode>_([$$-409]* #,##0.00_);_([$$-409]* \(#,##0.00\);_([$$-409]* "-"??_);_(@_)</c:formatCode>
                <c:ptCount val="5"/>
              </c:numCache>
            </c:numRef>
          </c:yVal>
          <c:smooth val="0"/>
          <c:extLst>
            <c:ext xmlns:c16="http://schemas.microsoft.com/office/drawing/2014/chart" uri="{C3380CC4-5D6E-409C-BE32-E72D297353CC}">
              <c16:uniqueId val="{00000004-53C7-4120-A98F-62AB38F9FA7F}"/>
            </c:ext>
          </c:extLst>
        </c:ser>
        <c:ser>
          <c:idx val="6"/>
          <c:order val="5"/>
          <c:tx>
            <c:v>Natural Gas</c:v>
          </c:tx>
          <c:spPr>
            <a:ln w="19050" cap="rnd">
              <a:solidFill>
                <a:srgbClr val="7030A0"/>
              </a:solidFill>
              <a:round/>
            </a:ln>
            <a:effectLst/>
          </c:spPr>
          <c:marker>
            <c:symbol val="none"/>
          </c:marker>
          <c:xVal>
            <c:numRef>
              <c:f>'PID &amp; Cash Flow'!$T$5:$T$22</c:f>
              <c:numCache>
                <c:formatCode>General</c:formatCode>
                <c:ptCount val="18"/>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pt idx="17">
                  <c:v>35</c:v>
                </c:pt>
              </c:numCache>
            </c:numRef>
          </c:xVal>
          <c:yVal>
            <c:numRef>
              <c:f>'PID &amp; Cash Flow'!$X$5:$X$22</c:f>
              <c:numCache>
                <c:formatCode>_([$$-409]* #,##0.00_);_([$$-409]* \(#,##0.00\);_([$$-409]* "-"??_);_(@_)</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5-53C7-4120-A98F-62AB38F9FA7F}"/>
            </c:ext>
          </c:extLst>
        </c:ser>
        <c:ser>
          <c:idx val="2"/>
          <c:order val="6"/>
          <c:tx>
            <c:v>OM&amp;R</c:v>
          </c:tx>
          <c:spPr>
            <a:ln w="47625" cap="rnd">
              <a:solidFill>
                <a:schemeClr val="accent3"/>
              </a:solidFill>
              <a:prstDash val="sysDot"/>
              <a:round/>
            </a:ln>
            <a:effectLst/>
          </c:spPr>
          <c:marker>
            <c:symbol val="none"/>
          </c:marker>
          <c:xVal>
            <c:numRef>
              <c:f>'PID &amp; Cash Flow'!$T$5:$T$21</c:f>
              <c:numCache>
                <c:formatCode>General</c:formatCode>
                <c:ptCount val="17"/>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numCache>
            </c:numRef>
          </c:xVal>
          <c:yVal>
            <c:numRef>
              <c:f>'PID &amp; Cash Flow'!$W$5:$W$21</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6-53C7-4120-A98F-62AB38F9FA7F}"/>
            </c:ext>
          </c:extLst>
        </c:ser>
        <c:ser>
          <c:idx val="10"/>
          <c:order val="7"/>
          <c:tx>
            <c:v>Water</c:v>
          </c:tx>
          <c:spPr>
            <a:ln w="38100" cap="rnd">
              <a:solidFill>
                <a:srgbClr val="F442F8"/>
              </a:solidFill>
              <a:round/>
            </a:ln>
            <a:effectLst/>
          </c:spPr>
          <c:marker>
            <c:symbol val="none"/>
          </c:marker>
          <c:xVal>
            <c:numRef>
              <c:f>'PID &amp; Cash Flow'!$T$5:$T$21</c:f>
              <c:numCache>
                <c:formatCode>General</c:formatCode>
                <c:ptCount val="17"/>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numCache>
            </c:numRef>
          </c:xVal>
          <c:yVal>
            <c:numRef>
              <c:f>'PID &amp; Cash Flow'!$Y$5:$Y$21</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7-53C7-4120-A98F-62AB38F9FA7F}"/>
            </c:ext>
          </c:extLst>
        </c:ser>
        <c:ser>
          <c:idx val="7"/>
          <c:order val="8"/>
          <c:tx>
            <c:strRef>
              <c:f>'PID &amp; Cash Flow'!$G$11</c:f>
              <c:strCache>
                <c:ptCount val="1"/>
              </c:strCache>
            </c:strRef>
          </c:tx>
          <c:spPr>
            <a:ln w="19050" cap="rnd">
              <a:solidFill>
                <a:srgbClr val="C00000"/>
              </a:solidFill>
              <a:prstDash val="sysDot"/>
              <a:round/>
            </a:ln>
            <a:effectLst/>
          </c:spPr>
          <c:marker>
            <c:symbol val="none"/>
          </c:marker>
          <c:xVal>
            <c:numRef>
              <c:f>'PID &amp; Cash Flow'!$T$5:$T$21</c:f>
              <c:numCache>
                <c:formatCode>General</c:formatCode>
                <c:ptCount val="17"/>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numCache>
            </c:numRef>
          </c:xVal>
          <c:yVal>
            <c:numRef>
              <c:f>'PID &amp; Cash Flow'!$Z$5:$Z$21</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8-53C7-4120-A98F-62AB38F9FA7F}"/>
            </c:ext>
          </c:extLst>
        </c:ser>
        <c:ser>
          <c:idx val="8"/>
          <c:order val="9"/>
          <c:tx>
            <c:strRef>
              <c:f>'PID &amp; Cash Flow'!$G$12</c:f>
              <c:strCache>
                <c:ptCount val="1"/>
              </c:strCache>
            </c:strRef>
          </c:tx>
          <c:spPr>
            <a:ln w="19050" cap="rnd">
              <a:solidFill>
                <a:schemeClr val="accent3">
                  <a:lumMod val="60000"/>
                </a:schemeClr>
              </a:solidFill>
              <a:prstDash val="lgDashDotDot"/>
              <a:round/>
            </a:ln>
            <a:effectLst/>
          </c:spPr>
          <c:marker>
            <c:symbol val="none"/>
          </c:marker>
          <c:xVal>
            <c:numRef>
              <c:f>'PID &amp; Cash Flow'!$T$5:$T$22</c:f>
              <c:numCache>
                <c:formatCode>General</c:formatCode>
                <c:ptCount val="18"/>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pt idx="17">
                  <c:v>35</c:v>
                </c:pt>
              </c:numCache>
            </c:numRef>
          </c:xVal>
          <c:yVal>
            <c:numRef>
              <c:f>'PID &amp; Cash Flow'!$AA$5:$AA$21</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9-53C7-4120-A98F-62AB38F9FA7F}"/>
            </c:ext>
          </c:extLst>
        </c:ser>
        <c:ser>
          <c:idx val="9"/>
          <c:order val="10"/>
          <c:tx>
            <c:strRef>
              <c:f>'PID &amp; Cash Flow'!$G$13</c:f>
              <c:strCache>
                <c:ptCount val="1"/>
              </c:strCache>
            </c:strRef>
          </c:tx>
          <c:spPr>
            <a:ln w="19050" cap="rnd">
              <a:solidFill>
                <a:schemeClr val="accent4">
                  <a:lumMod val="75000"/>
                </a:schemeClr>
              </a:solidFill>
              <a:prstDash val="lgDash"/>
              <a:round/>
            </a:ln>
            <a:effectLst/>
          </c:spPr>
          <c:marker>
            <c:symbol val="none"/>
          </c:marker>
          <c:xVal>
            <c:numRef>
              <c:f>'PID &amp; Cash Flow'!$T$5:$T$21</c:f>
              <c:numCache>
                <c:formatCode>General</c:formatCode>
                <c:ptCount val="17"/>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numCache>
            </c:numRef>
          </c:xVal>
          <c:yVal>
            <c:numRef>
              <c:f>'PID &amp; Cash Flow'!$AB$5:$AB$21</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A-53C7-4120-A98F-62AB38F9FA7F}"/>
            </c:ext>
          </c:extLst>
        </c:ser>
        <c:dLbls>
          <c:showLegendKey val="0"/>
          <c:showVal val="0"/>
          <c:showCatName val="0"/>
          <c:showSerName val="0"/>
          <c:showPercent val="0"/>
          <c:showBubbleSize val="0"/>
        </c:dLbls>
        <c:axId val="398074432"/>
        <c:axId val="398075416"/>
      </c:scatterChart>
      <c:valAx>
        <c:axId val="398074432"/>
        <c:scaling>
          <c:orientation val="minMax"/>
          <c:max val="3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8075416"/>
        <c:crosses val="autoZero"/>
        <c:crossBetween val="midCat"/>
      </c:valAx>
      <c:valAx>
        <c:axId val="39807541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in Thousands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8074432"/>
        <c:crosses val="autoZero"/>
        <c:crossBetween val="midCat"/>
      </c:valAx>
      <c:spPr>
        <a:noFill/>
        <a:ln>
          <a:noFill/>
        </a:ln>
        <a:effectLst/>
      </c:spPr>
    </c:plotArea>
    <c:legend>
      <c:legendPos val="t"/>
      <c:legendEntry>
        <c:idx val="2"/>
        <c:delete val="1"/>
      </c:legendEntry>
      <c:legendEntry>
        <c:idx val="3"/>
        <c:delete val="1"/>
      </c:legendEntry>
      <c:layout>
        <c:manualLayout>
          <c:xMode val="edge"/>
          <c:yMode val="edge"/>
          <c:x val="0.12250995759019134"/>
          <c:y val="9.891832393000477E-2"/>
          <c:w val="0.83921729969389325"/>
          <c:h val="0.151430280861991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Cash-Flow</a:t>
            </a:r>
            <a:r>
              <a:rPr lang="en-US" baseline="0"/>
              <a:t> Diagram - </a:t>
            </a:r>
            <a:r>
              <a:rPr lang="en-US" b="1" u="sng" baseline="0"/>
              <a:t>CASE B</a:t>
            </a:r>
            <a:endParaRPr lang="en-US" b="1" u="sng"/>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v>Initial Investment</c:v>
          </c:tx>
          <c:spPr>
            <a:ln w="19050" cap="rnd">
              <a:noFill/>
              <a:round/>
            </a:ln>
            <a:effectLst/>
          </c:spPr>
          <c:marker>
            <c:symbol val="x"/>
            <c:size val="15"/>
            <c:spPr>
              <a:noFill/>
              <a:ln w="9525">
                <a:solidFill>
                  <a:schemeClr val="accent2"/>
                </a:solidFill>
              </a:ln>
              <a:effectLst/>
            </c:spPr>
          </c:marker>
          <c:xVal>
            <c:numRef>
              <c:f>'PID &amp; Cash Flow'!$T$50</c:f>
              <c:numCache>
                <c:formatCode>General</c:formatCode>
                <c:ptCount val="1"/>
                <c:pt idx="0">
                  <c:v>0</c:v>
                </c:pt>
              </c:numCache>
            </c:numRef>
          </c:xVal>
          <c:yVal>
            <c:numRef>
              <c:f>'PID &amp; Cash Flow'!$U$50</c:f>
              <c:numCache>
                <c:formatCode>_([$$-409]* #,##0.00_);_([$$-409]* \(#,##0.00\);_([$$-409]* "-"??_);_(@_)</c:formatCode>
                <c:ptCount val="1"/>
                <c:pt idx="0">
                  <c:v>0</c:v>
                </c:pt>
              </c:numCache>
            </c:numRef>
          </c:yVal>
          <c:smooth val="0"/>
          <c:extLst>
            <c:ext xmlns:c16="http://schemas.microsoft.com/office/drawing/2014/chart" uri="{C3380CC4-5D6E-409C-BE32-E72D297353CC}">
              <c16:uniqueId val="{00000000-1D42-490A-9530-30AC854CD9A8}"/>
            </c:ext>
          </c:extLst>
        </c:ser>
        <c:ser>
          <c:idx val="0"/>
          <c:order val="1"/>
          <c:tx>
            <c:v>Electricity</c:v>
          </c:tx>
          <c:spPr>
            <a:ln w="19050" cap="rnd">
              <a:solidFill>
                <a:schemeClr val="accent1"/>
              </a:solidFill>
              <a:prstDash val="sysDash"/>
              <a:round/>
            </a:ln>
            <a:effectLst/>
          </c:spPr>
          <c:marker>
            <c:symbol val="none"/>
          </c:marker>
          <c:xVal>
            <c:numRef>
              <c:f>'PID &amp; Cash Flow'!$T$50:$T$67</c:f>
              <c:numCache>
                <c:formatCode>General</c:formatCode>
                <c:ptCount val="18"/>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pt idx="17">
                  <c:v>35</c:v>
                </c:pt>
              </c:numCache>
            </c:numRef>
          </c:xVal>
          <c:yVal>
            <c:numRef>
              <c:f>'PID &amp; Cash Flow'!$V$50:$V$68</c:f>
              <c:numCache>
                <c:formatCode>_([$$-409]* #,##0.00_);_([$$-409]* \(#,##0.00\);_([$$-409]* "-"??_);_(@_)</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1D42-490A-9530-30AC854CD9A8}"/>
            </c:ext>
          </c:extLst>
        </c:ser>
        <c:ser>
          <c:idx val="3"/>
          <c:order val="2"/>
          <c:tx>
            <c:v>Resale Benefit</c:v>
          </c:tx>
          <c:spPr>
            <a:ln w="19050" cap="rnd">
              <a:solidFill>
                <a:schemeClr val="accent4"/>
              </a:solidFill>
              <a:round/>
            </a:ln>
            <a:effectLst/>
          </c:spPr>
          <c:marker>
            <c:symbol val="diamond"/>
            <c:size val="10"/>
            <c:spPr>
              <a:solidFill>
                <a:schemeClr val="accent4"/>
              </a:solidFill>
              <a:ln w="9525">
                <a:solidFill>
                  <a:schemeClr val="accent4"/>
                </a:solidFill>
              </a:ln>
              <a:effectLst/>
            </c:spPr>
          </c:marker>
          <c:xVal>
            <c:numRef>
              <c:f>'PID &amp; Cash Flow'!$T$67</c:f>
              <c:numCache>
                <c:formatCode>General</c:formatCode>
                <c:ptCount val="1"/>
                <c:pt idx="0">
                  <c:v>35</c:v>
                </c:pt>
              </c:numCache>
            </c:numRef>
          </c:xVal>
          <c:yVal>
            <c:numRef>
              <c:f>'PID &amp; Cash Flow'!$AB$67</c:f>
              <c:numCache>
                <c:formatCode>_([$$-409]* #,##0.00_);_([$$-409]* \(#,##0.00\);_([$$-409]* "-"??_);_(@_)</c:formatCode>
                <c:ptCount val="1"/>
                <c:pt idx="0">
                  <c:v>0</c:v>
                </c:pt>
              </c:numCache>
            </c:numRef>
          </c:yVal>
          <c:smooth val="0"/>
          <c:extLst>
            <c:ext xmlns:c16="http://schemas.microsoft.com/office/drawing/2014/chart" uri="{C3380CC4-5D6E-409C-BE32-E72D297353CC}">
              <c16:uniqueId val="{00000002-1D42-490A-9530-30AC854CD9A8}"/>
            </c:ext>
          </c:extLst>
        </c:ser>
        <c:ser>
          <c:idx val="4"/>
          <c:order val="3"/>
          <c:tx>
            <c:v>Salvage Benefit</c:v>
          </c:tx>
          <c:spPr>
            <a:ln w="19050" cap="rnd">
              <a:solidFill>
                <a:schemeClr val="accent5"/>
              </a:solidFill>
              <a:round/>
            </a:ln>
            <a:effectLst/>
          </c:spPr>
          <c:marker>
            <c:symbol val="diamond"/>
            <c:size val="10"/>
            <c:spPr>
              <a:solidFill>
                <a:schemeClr val="accent5"/>
              </a:solidFill>
              <a:ln w="9525">
                <a:solidFill>
                  <a:schemeClr val="accent5"/>
                </a:solidFill>
              </a:ln>
              <a:effectLst/>
            </c:spPr>
          </c:marker>
          <c:xVal>
            <c:numRef>
              <c:f>'PID &amp; Cash Flow'!$T$67</c:f>
              <c:numCache>
                <c:formatCode>General</c:formatCode>
                <c:ptCount val="1"/>
                <c:pt idx="0">
                  <c:v>35</c:v>
                </c:pt>
              </c:numCache>
            </c:numRef>
          </c:xVal>
          <c:yVal>
            <c:numRef>
              <c:f>'PID &amp; Cash Flow'!$AC$67</c:f>
              <c:numCache>
                <c:formatCode>_([$$-409]* #,##0.00_);_([$$-409]* \(#,##0.00\);_([$$-409]* "-"??_);_(@_)</c:formatCode>
                <c:ptCount val="1"/>
                <c:pt idx="0">
                  <c:v>0</c:v>
                </c:pt>
              </c:numCache>
            </c:numRef>
          </c:yVal>
          <c:smooth val="0"/>
          <c:extLst>
            <c:ext xmlns:c16="http://schemas.microsoft.com/office/drawing/2014/chart" uri="{C3380CC4-5D6E-409C-BE32-E72D297353CC}">
              <c16:uniqueId val="{00000003-1D42-490A-9530-30AC854CD9A8}"/>
            </c:ext>
          </c:extLst>
        </c:ser>
        <c:ser>
          <c:idx val="5"/>
          <c:order val="4"/>
          <c:tx>
            <c:v>Other One-Time Costs</c:v>
          </c:tx>
          <c:spPr>
            <a:ln w="19050" cap="rnd">
              <a:noFill/>
              <a:round/>
            </a:ln>
            <a:effectLst/>
          </c:spPr>
          <c:marker>
            <c:symbol val="square"/>
            <c:size val="10"/>
            <c:spPr>
              <a:solidFill>
                <a:schemeClr val="accent6"/>
              </a:solidFill>
              <a:ln w="9525">
                <a:solidFill>
                  <a:schemeClr val="accent6"/>
                </a:solidFill>
              </a:ln>
              <a:effectLst/>
            </c:spPr>
          </c:marker>
          <c:xVal>
            <c:numRef>
              <c:f>'PID &amp; Cash Flow'!$H$56:$H$62</c:f>
              <c:numCache>
                <c:formatCode>General</c:formatCode>
                <c:ptCount val="7"/>
              </c:numCache>
            </c:numRef>
          </c:xVal>
          <c:yVal>
            <c:numRef>
              <c:f>'PID &amp; Cash Flow'!$I$56:$I$62</c:f>
              <c:numCache>
                <c:formatCode>_([$$-409]* #,##0.00_);_([$$-409]* \(#,##0.00\);_([$$-409]* "-"??_);_(@_)</c:formatCode>
                <c:ptCount val="7"/>
              </c:numCache>
            </c:numRef>
          </c:yVal>
          <c:smooth val="0"/>
          <c:extLst>
            <c:ext xmlns:c16="http://schemas.microsoft.com/office/drawing/2014/chart" uri="{C3380CC4-5D6E-409C-BE32-E72D297353CC}">
              <c16:uniqueId val="{00000004-1D42-490A-9530-30AC854CD9A8}"/>
            </c:ext>
          </c:extLst>
        </c:ser>
        <c:ser>
          <c:idx val="10"/>
          <c:order val="5"/>
          <c:tx>
            <c:v>Natural Gas</c:v>
          </c:tx>
          <c:spPr>
            <a:ln w="19050" cap="rnd">
              <a:solidFill>
                <a:srgbClr val="7030A0"/>
              </a:solidFill>
              <a:round/>
            </a:ln>
            <a:effectLst/>
          </c:spPr>
          <c:marker>
            <c:symbol val="none"/>
          </c:marker>
          <c:xVal>
            <c:numRef>
              <c:f>'PID &amp; Cash Flow'!$T$50:$T$66</c:f>
              <c:numCache>
                <c:formatCode>General</c:formatCode>
                <c:ptCount val="17"/>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numCache>
            </c:numRef>
          </c:xVal>
          <c:yVal>
            <c:numRef>
              <c:f>'PID &amp; Cash Flow'!$AD$50:$AD$66</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5-1D42-490A-9530-30AC854CD9A8}"/>
            </c:ext>
          </c:extLst>
        </c:ser>
        <c:ser>
          <c:idx val="2"/>
          <c:order val="6"/>
          <c:tx>
            <c:v>OM&amp;R</c:v>
          </c:tx>
          <c:spPr>
            <a:ln w="47625" cap="rnd">
              <a:solidFill>
                <a:schemeClr val="accent3"/>
              </a:solidFill>
              <a:prstDash val="sysDot"/>
              <a:round/>
            </a:ln>
            <a:effectLst/>
          </c:spPr>
          <c:marker>
            <c:symbol val="none"/>
          </c:marker>
          <c:xVal>
            <c:numRef>
              <c:f>'PID &amp; Cash Flow'!$T$50:$T$66</c:f>
              <c:numCache>
                <c:formatCode>General</c:formatCode>
                <c:ptCount val="17"/>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numCache>
            </c:numRef>
          </c:xVal>
          <c:yVal>
            <c:numRef>
              <c:f>'PID &amp; Cash Flow'!$W$50:$W$66</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6-1D42-490A-9530-30AC854CD9A8}"/>
            </c:ext>
          </c:extLst>
        </c:ser>
        <c:ser>
          <c:idx val="9"/>
          <c:order val="7"/>
          <c:tx>
            <c:v>Water</c:v>
          </c:tx>
          <c:spPr>
            <a:ln w="38100" cap="rnd">
              <a:solidFill>
                <a:srgbClr val="F442F8"/>
              </a:solidFill>
              <a:round/>
            </a:ln>
            <a:effectLst/>
          </c:spPr>
          <c:marker>
            <c:symbol val="none"/>
          </c:marker>
          <c:xVal>
            <c:numRef>
              <c:f>'PID &amp; Cash Flow'!$T$50:$T$66</c:f>
              <c:numCache>
                <c:formatCode>General</c:formatCode>
                <c:ptCount val="17"/>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numCache>
            </c:numRef>
          </c:xVal>
          <c:yVal>
            <c:numRef>
              <c:f>'PID &amp; Cash Flow'!$X$50:$X$66</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7-1D42-490A-9530-30AC854CD9A8}"/>
            </c:ext>
          </c:extLst>
        </c:ser>
        <c:ser>
          <c:idx val="6"/>
          <c:order val="8"/>
          <c:tx>
            <c:strRef>
              <c:f>'PID &amp; Cash Flow'!$G$53</c:f>
              <c:strCache>
                <c:ptCount val="1"/>
              </c:strCache>
            </c:strRef>
          </c:tx>
          <c:spPr>
            <a:ln w="19050" cap="rnd">
              <a:solidFill>
                <a:srgbClr val="C00000"/>
              </a:solidFill>
              <a:prstDash val="sysDot"/>
              <a:round/>
            </a:ln>
            <a:effectLst/>
          </c:spPr>
          <c:marker>
            <c:symbol val="none"/>
          </c:marker>
          <c:xVal>
            <c:numRef>
              <c:f>'PID &amp; Cash Flow'!$T$50:$T$66</c:f>
              <c:numCache>
                <c:formatCode>General</c:formatCode>
                <c:ptCount val="17"/>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numCache>
            </c:numRef>
          </c:xVal>
          <c:yVal>
            <c:numRef>
              <c:f>'PID &amp; Cash Flow'!$Y$50:$Y$66</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8-1D42-490A-9530-30AC854CD9A8}"/>
            </c:ext>
          </c:extLst>
        </c:ser>
        <c:ser>
          <c:idx val="7"/>
          <c:order val="9"/>
          <c:tx>
            <c:strRef>
              <c:f>'PID &amp; Cash Flow'!$G$54</c:f>
              <c:strCache>
                <c:ptCount val="1"/>
              </c:strCache>
            </c:strRef>
          </c:tx>
          <c:spPr>
            <a:ln w="19050" cap="rnd">
              <a:solidFill>
                <a:schemeClr val="bg1">
                  <a:lumMod val="50000"/>
                </a:schemeClr>
              </a:solidFill>
              <a:prstDash val="lgDashDotDot"/>
              <a:round/>
            </a:ln>
            <a:effectLst/>
          </c:spPr>
          <c:marker>
            <c:symbol val="none"/>
          </c:marker>
          <c:xVal>
            <c:numRef>
              <c:f>'PID &amp; Cash Flow'!$T$50:$T$66</c:f>
              <c:numCache>
                <c:formatCode>General</c:formatCode>
                <c:ptCount val="17"/>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numCache>
            </c:numRef>
          </c:xVal>
          <c:yVal>
            <c:numRef>
              <c:f>'PID &amp; Cash Flow'!$Z$50:$Z$66</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9-1D42-490A-9530-30AC854CD9A8}"/>
            </c:ext>
          </c:extLst>
        </c:ser>
        <c:ser>
          <c:idx val="8"/>
          <c:order val="10"/>
          <c:tx>
            <c:strRef>
              <c:f>'PID &amp; Cash Flow'!$G$55</c:f>
              <c:strCache>
                <c:ptCount val="1"/>
              </c:strCache>
            </c:strRef>
          </c:tx>
          <c:spPr>
            <a:ln w="19050" cap="rnd">
              <a:solidFill>
                <a:schemeClr val="accent4">
                  <a:lumMod val="75000"/>
                </a:schemeClr>
              </a:solidFill>
              <a:prstDash val="lgDash"/>
              <a:round/>
            </a:ln>
            <a:effectLst/>
          </c:spPr>
          <c:marker>
            <c:symbol val="none"/>
          </c:marker>
          <c:xVal>
            <c:numRef>
              <c:f>'PID &amp; Cash Flow'!$T$50:$T$67</c:f>
              <c:numCache>
                <c:formatCode>General</c:formatCode>
                <c:ptCount val="18"/>
                <c:pt idx="0">
                  <c:v>0</c:v>
                </c:pt>
                <c:pt idx="1">
                  <c:v>3</c:v>
                </c:pt>
                <c:pt idx="2">
                  <c:v>5</c:v>
                </c:pt>
                <c:pt idx="3">
                  <c:v>7</c:v>
                </c:pt>
                <c:pt idx="4">
                  <c:v>9</c:v>
                </c:pt>
                <c:pt idx="5">
                  <c:v>11</c:v>
                </c:pt>
                <c:pt idx="6">
                  <c:v>13</c:v>
                </c:pt>
                <c:pt idx="7">
                  <c:v>15</c:v>
                </c:pt>
                <c:pt idx="8">
                  <c:v>17</c:v>
                </c:pt>
                <c:pt idx="9">
                  <c:v>19</c:v>
                </c:pt>
                <c:pt idx="10">
                  <c:v>21</c:v>
                </c:pt>
                <c:pt idx="11">
                  <c:v>23</c:v>
                </c:pt>
                <c:pt idx="12">
                  <c:v>25</c:v>
                </c:pt>
                <c:pt idx="13">
                  <c:v>27</c:v>
                </c:pt>
                <c:pt idx="14">
                  <c:v>29</c:v>
                </c:pt>
                <c:pt idx="15">
                  <c:v>31</c:v>
                </c:pt>
                <c:pt idx="16">
                  <c:v>33</c:v>
                </c:pt>
                <c:pt idx="17">
                  <c:v>35</c:v>
                </c:pt>
              </c:numCache>
            </c:numRef>
          </c:xVal>
          <c:yVal>
            <c:numRef>
              <c:f>'PID &amp; Cash Flow'!$AA$50:$AA$66</c:f>
              <c:numCache>
                <c:formatCode>_([$$-409]* #,##0.00_);_([$$-409]* \(#,##0.00\);_([$$-409]*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A-1D42-490A-9530-30AC854CD9A8}"/>
            </c:ext>
          </c:extLst>
        </c:ser>
        <c:dLbls>
          <c:showLegendKey val="0"/>
          <c:showVal val="0"/>
          <c:showCatName val="0"/>
          <c:showSerName val="0"/>
          <c:showPercent val="0"/>
          <c:showBubbleSize val="0"/>
        </c:dLbls>
        <c:axId val="398074432"/>
        <c:axId val="398075416"/>
      </c:scatterChart>
      <c:valAx>
        <c:axId val="398074432"/>
        <c:scaling>
          <c:orientation val="minMax"/>
          <c:max val="3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8075416"/>
        <c:crosses val="autoZero"/>
        <c:crossBetween val="midCat"/>
      </c:valAx>
      <c:valAx>
        <c:axId val="398075416"/>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in Thousands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409]* #,##0_);_([$$-409]* \(#,##0\);_([$$-409]* &quot;-&quot;_);_(@_)"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8074432"/>
        <c:crosses val="autoZero"/>
        <c:crossBetween val="midCat"/>
      </c:valAx>
      <c:spPr>
        <a:noFill/>
        <a:ln>
          <a:noFill/>
        </a:ln>
        <a:effectLst/>
      </c:spPr>
    </c:plotArea>
    <c:legend>
      <c:legendPos val="t"/>
      <c:legendEntry>
        <c:idx val="2"/>
        <c:delete val="1"/>
      </c:legendEntry>
      <c:legendEntry>
        <c:idx val="3"/>
        <c:delete val="1"/>
      </c:legendEntry>
      <c:layout>
        <c:manualLayout>
          <c:xMode val="edge"/>
          <c:yMode val="edge"/>
          <c:x val="0.11450329822376216"/>
          <c:y val="9.2531238840098701E-2"/>
          <c:w val="0.84327727111825279"/>
          <c:h val="0.1675593071942117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6</xdr:col>
      <xdr:colOff>38965</xdr:colOff>
      <xdr:row>21</xdr:row>
      <xdr:rowOff>45028</xdr:rowOff>
    </xdr:from>
    <xdr:to>
      <xdr:col>9</xdr:col>
      <xdr:colOff>1734415</xdr:colOff>
      <xdr:row>43</xdr:row>
      <xdr:rowOff>121227</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28574</xdr:colOff>
      <xdr:row>65</xdr:row>
      <xdr:rowOff>25977</xdr:rowOff>
    </xdr:from>
    <xdr:to>
      <xdr:col>9</xdr:col>
      <xdr:colOff>1743074</xdr:colOff>
      <xdr:row>88</xdr:row>
      <xdr:rowOff>147205</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45</xdr:row>
      <xdr:rowOff>47625</xdr:rowOff>
    </xdr:from>
    <xdr:to>
      <xdr:col>5</xdr:col>
      <xdr:colOff>647700</xdr:colOff>
      <xdr:row>65</xdr:row>
      <xdr:rowOff>133350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68</xdr:row>
      <xdr:rowOff>19050</xdr:rowOff>
    </xdr:from>
    <xdr:to>
      <xdr:col>5</xdr:col>
      <xdr:colOff>657225</xdr:colOff>
      <xdr:row>88</xdr:row>
      <xdr:rowOff>152400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id="1" name="Table1" displayName="Table1" ref="T1:AD23" totalsRowShown="0" headerRowDxfId="27" dataDxfId="25" headerRowBorderDxfId="26">
  <autoFilter ref="T1:AD23"/>
  <tableColumns count="11">
    <tableColumn id="1" name="Column1" dataDxfId="24">
      <calculatedColumnFormula>T1+2</calculatedColumnFormula>
    </tableColumn>
    <tableColumn id="2" name="Column2" dataDxfId="23"/>
    <tableColumn id="3" name="Column3" dataDxfId="22"/>
    <tableColumn id="4" name="Column4" dataDxfId="21"/>
    <tableColumn id="18" name="Column5" dataDxfId="20"/>
    <tableColumn id="21" name="Column6" dataDxfId="19"/>
    <tableColumn id="24" name="Column63" dataDxfId="18"/>
    <tableColumn id="23" name="Column62" dataDxfId="17"/>
    <tableColumn id="22" name="Column7" dataDxfId="16"/>
    <tableColumn id="16" name="Column16" dataDxfId="15"/>
    <tableColumn id="17" name="Column17" dataDxfId="14"/>
  </tableColumns>
  <tableStyleInfo name="TableStyleLight4" showFirstColumn="0" showLastColumn="0" showRowStripes="1" showColumnStripes="0"/>
</table>
</file>

<file path=xl/tables/table2.xml><?xml version="1.0" encoding="utf-8"?>
<table xmlns="http://schemas.openxmlformats.org/spreadsheetml/2006/main" id="2" name="Table2" displayName="Table2" ref="T46:AD68" totalsRowShown="0" headerRowDxfId="13" dataDxfId="12" tableBorderDxfId="11">
  <autoFilter ref="T46:AD68"/>
  <tableColumns count="11">
    <tableColumn id="1" name="Column1" dataDxfId="10"/>
    <tableColumn id="2" name="Column2" dataDxfId="9"/>
    <tableColumn id="3" name="Column3" dataDxfId="8"/>
    <tableColumn id="4" name="Column4" dataDxfId="7"/>
    <tableColumn id="8" name="Column5" dataDxfId="6"/>
    <tableColumn id="11" name="Column6" dataDxfId="5"/>
    <tableColumn id="10" name="Column7" dataDxfId="4"/>
    <tableColumn id="9" name="Column8" dataDxfId="3"/>
    <tableColumn id="5" name="Column9" dataDxfId="2"/>
    <tableColumn id="6" name="Column10" dataDxfId="1"/>
    <tableColumn id="7" name="Column11" dataDxfId="0"/>
  </tableColumns>
  <tableStyleInfo name="TableStyleLight4" showFirstColumn="0" showLastColumn="0" showRowStripes="1" showColumnStripes="0"/>
</table>
</file>

<file path=xl/tables/table3.xml><?xml version="1.0" encoding="utf-8"?>
<table xmlns="http://schemas.openxmlformats.org/spreadsheetml/2006/main" id="3" name="Table3" displayName="Table3" ref="A47:H84" totalsRowShown="0">
  <tableColumns count="8">
    <tableColumn id="1" name="Column1"/>
    <tableColumn id="2" name="Column2"/>
    <tableColumn id="3" name="Column3"/>
    <tableColumn id="4" name="Column4"/>
    <tableColumn id="5" name="Column5"/>
    <tableColumn id="6" name="Column6"/>
    <tableColumn id="7" name="Column7"/>
    <tableColumn id="8" name="Column8"/>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ist.gov/publications/life-cycle-costing-manual-federal-energy-management-program-nist-handbook-135-1995" TargetMode="External"/><Relationship Id="rId1" Type="http://schemas.openxmlformats.org/officeDocument/2006/relationships/hyperlink" Target="https://www.nist.gov/publications/energy-price-indices-and-discount-factors-life-cycle-cost-analysis-150-2019-annual"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bin"/><Relationship Id="rId1" Type="http://schemas.openxmlformats.org/officeDocument/2006/relationships/hyperlink" Target="https://www.nist.gov/publications/energy-price-indices-and-discount-factors-life-cycle-cost-analysis-150-2019-annua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71"/>
  <sheetViews>
    <sheetView tabSelected="1" workbookViewId="0">
      <selection activeCell="K28" sqref="K28"/>
    </sheetView>
  </sheetViews>
  <sheetFormatPr defaultRowHeight="15" x14ac:dyDescent="0.25"/>
  <cols>
    <col min="1" max="1" width="25.85546875" customWidth="1"/>
    <col min="2" max="2" width="11.85546875" customWidth="1"/>
    <col min="3" max="3" width="8.7109375" customWidth="1"/>
    <col min="4" max="4" width="8.140625" customWidth="1"/>
    <col min="5" max="5" width="9.85546875" customWidth="1"/>
    <col min="6" max="6" width="9.5703125" bestFit="1" customWidth="1"/>
    <col min="7" max="7" width="11.42578125" customWidth="1"/>
    <col min="9" max="9" width="22.28515625" customWidth="1"/>
    <col min="10" max="10" width="17.5703125" customWidth="1"/>
    <col min="11" max="11" width="15.140625" customWidth="1"/>
    <col min="12" max="12" width="25.28515625" customWidth="1"/>
  </cols>
  <sheetData>
    <row r="2" spans="1:21" ht="24" thickBot="1" x14ac:dyDescent="0.4">
      <c r="A2" s="295" t="s">
        <v>106</v>
      </c>
      <c r="B2" s="295"/>
      <c r="C2" s="295"/>
      <c r="D2" s="117"/>
      <c r="E2" s="117"/>
      <c r="I2" s="295" t="s">
        <v>211</v>
      </c>
      <c r="J2" s="295"/>
      <c r="K2" s="295"/>
    </row>
    <row r="3" spans="1:21" ht="16.5" customHeight="1" thickBot="1" x14ac:dyDescent="0.3">
      <c r="I3" s="297" t="s">
        <v>93</v>
      </c>
      <c r="J3" s="298"/>
      <c r="K3" s="218" t="s">
        <v>87</v>
      </c>
      <c r="L3" s="219"/>
    </row>
    <row r="4" spans="1:21" ht="17.25" customHeight="1" x14ac:dyDescent="0.25">
      <c r="A4" s="278" t="s">
        <v>179</v>
      </c>
      <c r="B4" s="279"/>
      <c r="C4" s="279"/>
      <c r="D4" s="279"/>
      <c r="E4" s="279"/>
      <c r="F4" s="279"/>
      <c r="G4" s="280"/>
      <c r="I4" s="299" t="s">
        <v>94</v>
      </c>
      <c r="J4" s="300"/>
      <c r="K4" s="303" t="s">
        <v>95</v>
      </c>
      <c r="L4" s="84"/>
    </row>
    <row r="5" spans="1:21" ht="18" customHeight="1" x14ac:dyDescent="0.25">
      <c r="A5" s="281"/>
      <c r="B5" s="282"/>
      <c r="C5" s="282"/>
      <c r="D5" s="282"/>
      <c r="E5" s="282"/>
      <c r="F5" s="282"/>
      <c r="G5" s="283"/>
      <c r="I5" s="299"/>
      <c r="J5" s="300"/>
      <c r="K5" s="303"/>
      <c r="L5" s="84"/>
    </row>
    <row r="6" spans="1:21" ht="18.75" customHeight="1" thickBot="1" x14ac:dyDescent="0.3">
      <c r="A6" s="284"/>
      <c r="B6" s="285"/>
      <c r="C6" s="285"/>
      <c r="D6" s="285"/>
      <c r="E6" s="285"/>
      <c r="F6" s="285"/>
      <c r="G6" s="286"/>
      <c r="I6" s="104" t="s">
        <v>172</v>
      </c>
      <c r="J6" s="105">
        <f>400*(10^-3)</f>
        <v>0.4</v>
      </c>
      <c r="K6" s="301" t="s">
        <v>104</v>
      </c>
      <c r="L6" s="302"/>
    </row>
    <row r="7" spans="1:21" ht="18" customHeight="1" thickBot="1" x14ac:dyDescent="0.3">
      <c r="A7" s="209"/>
      <c r="B7" s="209"/>
      <c r="C7" s="209"/>
      <c r="D7" s="209"/>
      <c r="E7" s="209"/>
      <c r="F7" s="209"/>
      <c r="G7" s="209"/>
      <c r="I7" s="198" t="s">
        <v>173</v>
      </c>
      <c r="J7" s="199">
        <v>5</v>
      </c>
      <c r="K7" s="13"/>
      <c r="L7" s="14"/>
    </row>
    <row r="8" spans="1:21" ht="18.75" customHeight="1" x14ac:dyDescent="0.25">
      <c r="A8" s="278" t="s">
        <v>107</v>
      </c>
      <c r="B8" s="279"/>
      <c r="C8" s="279"/>
      <c r="D8" s="279"/>
      <c r="E8" s="279"/>
      <c r="F8" s="279"/>
      <c r="G8" s="280"/>
      <c r="I8" s="198" t="s">
        <v>176</v>
      </c>
      <c r="J8" s="199">
        <v>5</v>
      </c>
      <c r="K8" s="13"/>
      <c r="L8" s="14"/>
      <c r="Q8" s="44"/>
      <c r="R8" s="44"/>
    </row>
    <row r="9" spans="1:21" ht="20.25" customHeight="1" thickBot="1" x14ac:dyDescent="0.3">
      <c r="A9" s="284"/>
      <c r="B9" s="285"/>
      <c r="C9" s="285"/>
      <c r="D9" s="285"/>
      <c r="E9" s="285"/>
      <c r="F9" s="285"/>
      <c r="G9" s="286"/>
      <c r="I9" s="198" t="s">
        <v>174</v>
      </c>
      <c r="J9" s="197"/>
      <c r="K9" s="13"/>
      <c r="L9" s="14"/>
    </row>
    <row r="10" spans="1:21" ht="15.75" customHeight="1" thickBot="1" x14ac:dyDescent="0.3">
      <c r="A10" s="210"/>
      <c r="B10" s="210"/>
      <c r="C10" s="210"/>
      <c r="D10" s="210"/>
      <c r="E10" s="210"/>
      <c r="F10" s="210"/>
      <c r="G10" s="210"/>
      <c r="I10" s="198" t="s">
        <v>175</v>
      </c>
      <c r="J10" s="197"/>
      <c r="K10" s="13"/>
      <c r="L10" s="14"/>
      <c r="R10" s="188"/>
      <c r="S10" s="188"/>
      <c r="T10" s="188"/>
      <c r="U10" s="188"/>
    </row>
    <row r="11" spans="1:21" ht="15" customHeight="1" thickBot="1" x14ac:dyDescent="0.3">
      <c r="A11" s="278" t="s">
        <v>110</v>
      </c>
      <c r="B11" s="279"/>
      <c r="C11" s="279"/>
      <c r="D11" s="279"/>
      <c r="E11" s="279"/>
      <c r="F11" s="279"/>
      <c r="G11" s="280"/>
      <c r="I11" s="287" t="s">
        <v>171</v>
      </c>
      <c r="J11" s="288"/>
      <c r="K11" s="232">
        <f>(J4*J6)+(J9*J7)+(J10*J8)</f>
        <v>0</v>
      </c>
      <c r="L11" s="216" t="s">
        <v>200</v>
      </c>
      <c r="R11" s="188"/>
      <c r="S11" s="188"/>
      <c r="T11" s="188"/>
      <c r="U11" s="188"/>
    </row>
    <row r="12" spans="1:21" ht="15" customHeight="1" x14ac:dyDescent="0.25">
      <c r="A12" s="281"/>
      <c r="B12" s="282"/>
      <c r="C12" s="282"/>
      <c r="D12" s="282"/>
      <c r="E12" s="282"/>
      <c r="F12" s="282"/>
      <c r="G12" s="283"/>
      <c r="I12" s="183"/>
      <c r="J12" s="184"/>
      <c r="K12" s="128"/>
      <c r="L12" s="84"/>
      <c r="R12" s="188"/>
      <c r="S12" s="188"/>
      <c r="T12" s="188"/>
      <c r="U12" s="188"/>
    </row>
    <row r="13" spans="1:21" ht="15.75" thickBot="1" x14ac:dyDescent="0.3">
      <c r="A13" s="284"/>
      <c r="B13" s="285"/>
      <c r="C13" s="285"/>
      <c r="D13" s="285"/>
      <c r="E13" s="285"/>
      <c r="F13" s="285"/>
      <c r="G13" s="286"/>
      <c r="I13" s="189" t="s">
        <v>98</v>
      </c>
      <c r="J13" s="190"/>
      <c r="K13" s="129" t="s">
        <v>87</v>
      </c>
      <c r="L13" s="130"/>
      <c r="R13" s="188"/>
      <c r="S13" s="188"/>
      <c r="T13" s="188"/>
      <c r="U13" s="188"/>
    </row>
    <row r="14" spans="1:21" x14ac:dyDescent="0.25">
      <c r="A14" s="150"/>
      <c r="B14" s="150"/>
      <c r="C14" s="150"/>
      <c r="D14" s="150"/>
      <c r="E14" s="150"/>
      <c r="F14" s="150"/>
      <c r="G14" s="150"/>
      <c r="I14" s="108" t="s">
        <v>99</v>
      </c>
      <c r="J14" s="109"/>
      <c r="K14" s="128"/>
      <c r="L14" s="84"/>
    </row>
    <row r="15" spans="1:21" ht="15.75" customHeight="1" x14ac:dyDescent="0.25">
      <c r="A15" s="295" t="s">
        <v>118</v>
      </c>
      <c r="B15" s="295"/>
      <c r="C15" s="295"/>
      <c r="D15" s="295"/>
      <c r="E15" s="295"/>
      <c r="I15" s="191" t="s">
        <v>100</v>
      </c>
      <c r="J15" s="181">
        <f>25*10^-3</f>
        <v>2.5000000000000001E-2</v>
      </c>
      <c r="K15" s="128" t="s">
        <v>96</v>
      </c>
      <c r="L15" s="84"/>
    </row>
    <row r="16" spans="1:21" ht="15" customHeight="1" x14ac:dyDescent="0.25">
      <c r="A16" s="295"/>
      <c r="B16" s="295"/>
      <c r="C16" s="295"/>
      <c r="D16" s="295"/>
      <c r="E16" s="295"/>
      <c r="I16" s="191"/>
      <c r="J16" s="182"/>
      <c r="K16" s="128"/>
      <c r="L16" s="84"/>
    </row>
    <row r="17" spans="1:16" ht="15" customHeight="1" thickBot="1" x14ac:dyDescent="0.3">
      <c r="I17" s="191" t="s">
        <v>101</v>
      </c>
      <c r="J17" s="185"/>
      <c r="K17" s="83"/>
      <c r="L17" s="84"/>
    </row>
    <row r="18" spans="1:16" ht="15" customHeight="1" thickBot="1" x14ac:dyDescent="0.3">
      <c r="A18" s="275" t="s">
        <v>180</v>
      </c>
      <c r="B18" s="276"/>
      <c r="C18" s="276"/>
      <c r="D18" s="276"/>
      <c r="E18" s="276"/>
      <c r="F18" s="276"/>
      <c r="G18" s="277"/>
      <c r="I18" s="191" t="s">
        <v>103</v>
      </c>
      <c r="J18" s="111">
        <f>3.4/(10^3)</f>
        <v>3.3999999999999998E-3</v>
      </c>
      <c r="K18" s="192" t="s">
        <v>165</v>
      </c>
      <c r="L18" s="193"/>
    </row>
    <row r="19" spans="1:16" ht="16.5" customHeight="1" thickBot="1" x14ac:dyDescent="0.3">
      <c r="A19" s="278" t="s">
        <v>122</v>
      </c>
      <c r="B19" s="279"/>
      <c r="C19" s="279"/>
      <c r="D19" s="279"/>
      <c r="E19" s="279"/>
      <c r="F19" s="279"/>
      <c r="G19" s="280"/>
      <c r="I19" s="200" t="s">
        <v>102</v>
      </c>
      <c r="J19" s="233">
        <f>(J18*J17)+(J18*J14*J15)</f>
        <v>0</v>
      </c>
      <c r="K19" s="201"/>
      <c r="L19" s="107"/>
    </row>
    <row r="20" spans="1:16" ht="16.5" customHeight="1" x14ac:dyDescent="0.25">
      <c r="A20" s="281"/>
      <c r="B20" s="282"/>
      <c r="C20" s="282"/>
      <c r="D20" s="282"/>
      <c r="E20" s="282"/>
      <c r="F20" s="282"/>
      <c r="G20" s="283"/>
    </row>
    <row r="21" spans="1:16" ht="15.75" customHeight="1" thickBot="1" x14ac:dyDescent="0.3">
      <c r="A21" s="284"/>
      <c r="B21" s="285"/>
      <c r="C21" s="285"/>
      <c r="D21" s="285"/>
      <c r="E21" s="285"/>
      <c r="F21" s="285"/>
      <c r="G21" s="286"/>
      <c r="I21" s="295" t="s">
        <v>128</v>
      </c>
      <c r="J21" s="295"/>
      <c r="K21" s="295"/>
      <c r="L21" s="295"/>
    </row>
    <row r="22" spans="1:16" ht="15" customHeight="1" thickBot="1" x14ac:dyDescent="0.3">
      <c r="A22" s="210"/>
      <c r="B22" s="210"/>
      <c r="C22" s="210"/>
      <c r="D22" s="210"/>
      <c r="E22" s="210"/>
      <c r="F22" s="210"/>
      <c r="G22" s="210"/>
      <c r="I22" s="296"/>
      <c r="J22" s="296"/>
      <c r="K22" s="296"/>
      <c r="L22" s="296"/>
      <c r="M22" s="13"/>
    </row>
    <row r="23" spans="1:16" ht="18" customHeight="1" x14ac:dyDescent="0.25">
      <c r="A23" s="278" t="s">
        <v>181</v>
      </c>
      <c r="B23" s="279"/>
      <c r="C23" s="279"/>
      <c r="D23" s="279"/>
      <c r="E23" s="279"/>
      <c r="F23" s="279"/>
      <c r="G23" s="280"/>
      <c r="I23" s="194" t="s">
        <v>209</v>
      </c>
      <c r="J23" s="195"/>
      <c r="K23" s="30"/>
      <c r="L23" s="36"/>
      <c r="M23" s="44"/>
    </row>
    <row r="24" spans="1:16" ht="25.5" customHeight="1" thickBot="1" x14ac:dyDescent="0.3">
      <c r="A24" s="284"/>
      <c r="B24" s="285"/>
      <c r="C24" s="285"/>
      <c r="D24" s="285"/>
      <c r="E24" s="285"/>
      <c r="F24" s="285"/>
      <c r="G24" s="286"/>
      <c r="I24" s="19" t="s">
        <v>27</v>
      </c>
      <c r="J24" s="20" t="s">
        <v>29</v>
      </c>
      <c r="K24" s="20" t="s">
        <v>53</v>
      </c>
      <c r="L24" s="130" t="s">
        <v>4</v>
      </c>
      <c r="M24" s="44"/>
    </row>
    <row r="25" spans="1:16" ht="15.75" customHeight="1" thickBot="1" x14ac:dyDescent="0.3">
      <c r="A25" s="211"/>
      <c r="B25" s="211"/>
      <c r="C25" s="211"/>
      <c r="D25" s="211"/>
      <c r="E25" s="211"/>
      <c r="F25" s="211"/>
      <c r="G25" s="211"/>
      <c r="I25" s="16" t="s">
        <v>22</v>
      </c>
      <c r="J25" s="242">
        <v>1</v>
      </c>
      <c r="K25" s="217">
        <f>B68</f>
        <v>0</v>
      </c>
      <c r="L25" s="84"/>
      <c r="M25" s="13"/>
    </row>
    <row r="26" spans="1:16" ht="15" customHeight="1" x14ac:dyDescent="0.25">
      <c r="A26" s="278" t="s">
        <v>182</v>
      </c>
      <c r="B26" s="279"/>
      <c r="C26" s="279"/>
      <c r="D26" s="279"/>
      <c r="E26" s="279"/>
      <c r="F26" s="279"/>
      <c r="G26" s="280"/>
      <c r="I26" s="12" t="s">
        <v>50</v>
      </c>
      <c r="J26" s="100" t="s">
        <v>144</v>
      </c>
      <c r="K26" s="24"/>
      <c r="L26" s="180" t="s">
        <v>49</v>
      </c>
      <c r="M26" s="251"/>
      <c r="N26" s="161"/>
      <c r="O26" s="161"/>
      <c r="P26" s="161"/>
    </row>
    <row r="27" spans="1:16" ht="15.75" customHeight="1" x14ac:dyDescent="0.25">
      <c r="A27" s="281"/>
      <c r="B27" s="282"/>
      <c r="C27" s="282"/>
      <c r="D27" s="282"/>
      <c r="E27" s="282"/>
      <c r="F27" s="282"/>
      <c r="G27" s="283"/>
      <c r="I27" s="12" t="s">
        <v>23</v>
      </c>
      <c r="J27" s="100" t="s">
        <v>144</v>
      </c>
      <c r="K27" s="7"/>
      <c r="L27" s="180" t="s">
        <v>170</v>
      </c>
      <c r="M27" s="161"/>
      <c r="N27" s="161"/>
      <c r="O27" s="161"/>
      <c r="P27" s="161"/>
    </row>
    <row r="28" spans="1:16" ht="18" customHeight="1" thickBot="1" x14ac:dyDescent="0.3">
      <c r="A28" s="284"/>
      <c r="B28" s="285"/>
      <c r="C28" s="285"/>
      <c r="D28" s="285"/>
      <c r="E28" s="285"/>
      <c r="F28" s="285"/>
      <c r="G28" s="286"/>
      <c r="I28" s="23" t="s">
        <v>63</v>
      </c>
      <c r="J28" s="100" t="s">
        <v>144</v>
      </c>
      <c r="K28" s="24"/>
      <c r="L28" s="252" t="s">
        <v>48</v>
      </c>
      <c r="M28" s="251"/>
      <c r="N28" s="161"/>
      <c r="O28" s="161"/>
      <c r="P28" s="161"/>
    </row>
    <row r="29" spans="1:16" x14ac:dyDescent="0.25">
      <c r="A29" s="13"/>
      <c r="B29" s="13"/>
      <c r="C29" s="13"/>
      <c r="D29" s="13"/>
      <c r="E29" s="13"/>
      <c r="F29" s="13"/>
      <c r="G29" s="13"/>
      <c r="I29" s="23" t="s">
        <v>64</v>
      </c>
      <c r="J29" s="100" t="s">
        <v>144</v>
      </c>
      <c r="K29" s="112">
        <f>J19</f>
        <v>0</v>
      </c>
      <c r="L29" s="131"/>
    </row>
    <row r="30" spans="1:16" ht="15" customHeight="1" x14ac:dyDescent="0.25">
      <c r="A30" s="13"/>
      <c r="B30" s="13"/>
      <c r="C30" s="13"/>
      <c r="D30" s="13"/>
      <c r="E30" s="13"/>
      <c r="F30" s="13"/>
      <c r="G30" s="13"/>
      <c r="I30" s="12" t="s">
        <v>51</v>
      </c>
      <c r="J30" s="253"/>
      <c r="K30" s="7"/>
      <c r="L30" s="84" t="s">
        <v>24</v>
      </c>
      <c r="M30" s="38"/>
    </row>
    <row r="31" spans="1:16" ht="19.5" customHeight="1" thickBot="1" x14ac:dyDescent="0.4">
      <c r="A31" s="212" t="s">
        <v>108</v>
      </c>
      <c r="B31" s="212"/>
      <c r="C31" s="212"/>
      <c r="D31" s="37"/>
      <c r="E31" s="37"/>
      <c r="F31" s="37"/>
      <c r="G31" s="37"/>
      <c r="I31" s="19" t="s">
        <v>71</v>
      </c>
      <c r="J31" s="254"/>
      <c r="K31" s="220"/>
      <c r="L31" s="154" t="s">
        <v>24</v>
      </c>
      <c r="M31" s="38"/>
    </row>
    <row r="32" spans="1:16" ht="15" customHeight="1" thickBot="1" x14ac:dyDescent="0.4">
      <c r="A32" s="212"/>
      <c r="B32" s="212"/>
      <c r="C32" s="212"/>
    </row>
    <row r="33" spans="1:16" ht="15" customHeight="1" thickBot="1" x14ac:dyDescent="0.3">
      <c r="A33" s="307" t="s">
        <v>183</v>
      </c>
      <c r="B33" s="308"/>
      <c r="C33" s="308"/>
      <c r="D33" s="308"/>
      <c r="E33" s="308"/>
      <c r="F33" s="308"/>
      <c r="G33" s="309"/>
      <c r="I33" s="194" t="s">
        <v>210</v>
      </c>
      <c r="J33" s="195"/>
      <c r="K33" s="47"/>
      <c r="L33" s="119"/>
    </row>
    <row r="34" spans="1:16" ht="15" customHeight="1" x14ac:dyDescent="0.25">
      <c r="A34" s="289" t="s">
        <v>111</v>
      </c>
      <c r="B34" s="290"/>
      <c r="C34" s="290"/>
      <c r="D34" s="290"/>
      <c r="E34" s="290"/>
      <c r="F34" s="290"/>
      <c r="G34" s="291"/>
      <c r="I34" s="16"/>
      <c r="J34" s="120"/>
      <c r="K34" s="120"/>
      <c r="L34" s="121"/>
      <c r="M34" s="61"/>
    </row>
    <row r="35" spans="1:16" ht="15" customHeight="1" thickBot="1" x14ac:dyDescent="0.3">
      <c r="A35" s="292"/>
      <c r="B35" s="293"/>
      <c r="C35" s="293"/>
      <c r="D35" s="293"/>
      <c r="E35" s="293"/>
      <c r="F35" s="293"/>
      <c r="G35" s="294"/>
      <c r="I35" s="122" t="s">
        <v>27</v>
      </c>
      <c r="J35" s="123" t="s">
        <v>29</v>
      </c>
      <c r="K35" s="123" t="s">
        <v>53</v>
      </c>
      <c r="L35" s="132" t="s">
        <v>4</v>
      </c>
    </row>
    <row r="36" spans="1:16" ht="15.75" thickBot="1" x14ac:dyDescent="0.3">
      <c r="A36" s="209"/>
      <c r="B36" s="209"/>
      <c r="C36" s="209"/>
      <c r="D36" s="209"/>
      <c r="E36" s="209"/>
      <c r="F36" s="209"/>
      <c r="G36" s="209"/>
      <c r="I36" s="16" t="s">
        <v>22</v>
      </c>
      <c r="J36" s="242">
        <v>1</v>
      </c>
      <c r="K36" s="217">
        <f>G68</f>
        <v>0</v>
      </c>
      <c r="L36" s="133"/>
    </row>
    <row r="37" spans="1:16" ht="16.5" customHeight="1" thickBot="1" x14ac:dyDescent="0.3">
      <c r="A37" s="304" t="s">
        <v>184</v>
      </c>
      <c r="B37" s="305"/>
      <c r="C37" s="305"/>
      <c r="D37" s="305"/>
      <c r="E37" s="305"/>
      <c r="F37" s="305"/>
      <c r="G37" s="306"/>
      <c r="I37" s="16" t="s">
        <v>50</v>
      </c>
      <c r="J37" s="100" t="s">
        <v>144</v>
      </c>
      <c r="K37" s="124"/>
      <c r="L37" s="133" t="s">
        <v>49</v>
      </c>
    </row>
    <row r="38" spans="1:16" ht="15.75" customHeight="1" x14ac:dyDescent="0.25">
      <c r="A38" s="289" t="s">
        <v>88</v>
      </c>
      <c r="B38" s="290"/>
      <c r="C38" s="290"/>
      <c r="D38" s="290"/>
      <c r="E38" s="290"/>
      <c r="F38" s="290"/>
      <c r="G38" s="291"/>
      <c r="I38" s="16" t="s">
        <v>23</v>
      </c>
      <c r="J38" s="100" t="s">
        <v>144</v>
      </c>
      <c r="K38" s="124"/>
      <c r="L38" s="180" t="s">
        <v>170</v>
      </c>
    </row>
    <row r="39" spans="1:16" ht="15" customHeight="1" thickBot="1" x14ac:dyDescent="0.3">
      <c r="A39" s="292"/>
      <c r="B39" s="293"/>
      <c r="C39" s="293"/>
      <c r="D39" s="293"/>
      <c r="E39" s="293"/>
      <c r="F39" s="293"/>
      <c r="G39" s="294"/>
      <c r="I39" s="23" t="s">
        <v>63</v>
      </c>
      <c r="J39" s="100" t="s">
        <v>144</v>
      </c>
      <c r="K39" s="24"/>
      <c r="L39" s="252" t="s">
        <v>48</v>
      </c>
    </row>
    <row r="40" spans="1:16" s="65" customFormat="1" ht="17.25" customHeight="1" thickBot="1" x14ac:dyDescent="0.3">
      <c r="A40" s="209"/>
      <c r="B40" s="209"/>
      <c r="C40" s="209"/>
      <c r="D40" s="209"/>
      <c r="E40" s="209"/>
      <c r="F40" s="209"/>
      <c r="G40" s="209"/>
      <c r="I40" s="125" t="s">
        <v>64</v>
      </c>
      <c r="J40" s="100" t="s">
        <v>144</v>
      </c>
      <c r="K40" s="126">
        <f>J19</f>
        <v>0</v>
      </c>
      <c r="L40" s="134"/>
      <c r="M40"/>
      <c r="N40"/>
      <c r="O40"/>
      <c r="P40"/>
    </row>
    <row r="41" spans="1:16" ht="14.25" customHeight="1" x14ac:dyDescent="0.25">
      <c r="A41" s="278" t="s">
        <v>185</v>
      </c>
      <c r="B41" s="279"/>
      <c r="C41" s="279"/>
      <c r="D41" s="279"/>
      <c r="E41" s="279"/>
      <c r="F41" s="279"/>
      <c r="G41" s="280"/>
      <c r="I41" s="16" t="s">
        <v>51</v>
      </c>
      <c r="J41" s="253"/>
      <c r="K41" s="127"/>
      <c r="L41" s="133" t="s">
        <v>24</v>
      </c>
      <c r="M41" s="37"/>
    </row>
    <row r="42" spans="1:16" ht="15" customHeight="1" thickBot="1" x14ac:dyDescent="0.3">
      <c r="A42" s="284"/>
      <c r="B42" s="285"/>
      <c r="C42" s="285"/>
      <c r="D42" s="285"/>
      <c r="E42" s="285"/>
      <c r="F42" s="285"/>
      <c r="G42" s="286"/>
      <c r="I42" s="122" t="s">
        <v>71</v>
      </c>
      <c r="J42" s="254"/>
      <c r="K42" s="221"/>
      <c r="L42" s="135" t="s">
        <v>24</v>
      </c>
    </row>
    <row r="43" spans="1:16" ht="15" customHeight="1" x14ac:dyDescent="0.25">
      <c r="I43" s="13"/>
      <c r="J43" s="242"/>
      <c r="K43" s="13"/>
      <c r="L43" s="13"/>
      <c r="M43" s="214"/>
    </row>
    <row r="44" spans="1:16" ht="15" customHeight="1" x14ac:dyDescent="0.25">
      <c r="I44" s="13"/>
      <c r="J44" s="13"/>
      <c r="K44" s="13"/>
      <c r="L44" s="13"/>
      <c r="M44" s="214"/>
    </row>
    <row r="45" spans="1:16" ht="24" thickBot="1" x14ac:dyDescent="0.4">
      <c r="A45" s="261" t="s">
        <v>201</v>
      </c>
      <c r="B45" s="261"/>
      <c r="C45" s="261"/>
      <c r="D45" s="213"/>
      <c r="E45" s="213"/>
      <c r="I45" s="13"/>
      <c r="J45" s="13"/>
      <c r="K45" s="13"/>
      <c r="L45" s="13"/>
      <c r="M45" s="44"/>
    </row>
    <row r="46" spans="1:16" x14ac:dyDescent="0.25">
      <c r="A46" s="262" t="s">
        <v>186</v>
      </c>
      <c r="B46" s="264" t="s">
        <v>202</v>
      </c>
      <c r="C46" s="264"/>
      <c r="D46" s="264"/>
      <c r="E46" s="264"/>
      <c r="F46" s="264"/>
      <c r="G46" s="265"/>
      <c r="M46" s="44"/>
    </row>
    <row r="47" spans="1:16" ht="15" customHeight="1" x14ac:dyDescent="0.25">
      <c r="A47" s="263"/>
      <c r="B47" s="266"/>
      <c r="C47" s="266"/>
      <c r="D47" s="266"/>
      <c r="E47" s="266"/>
      <c r="F47" s="266"/>
      <c r="G47" s="267"/>
      <c r="M47" s="44"/>
    </row>
    <row r="48" spans="1:16" x14ac:dyDescent="0.25">
      <c r="A48" s="263"/>
      <c r="B48" s="266"/>
      <c r="C48" s="266"/>
      <c r="D48" s="266"/>
      <c r="E48" s="266"/>
      <c r="F48" s="266"/>
      <c r="G48" s="267"/>
    </row>
    <row r="49" spans="1:28" x14ac:dyDescent="0.25">
      <c r="A49" s="223"/>
      <c r="B49" s="214"/>
      <c r="C49" s="214"/>
      <c r="D49" s="214"/>
      <c r="E49" s="214"/>
      <c r="F49" s="214"/>
      <c r="G49" s="216"/>
    </row>
    <row r="50" spans="1:28" ht="15.75" thickBot="1" x14ac:dyDescent="0.3">
      <c r="A50" s="269" t="s">
        <v>217</v>
      </c>
      <c r="B50" s="270"/>
      <c r="C50" s="227"/>
      <c r="D50" s="270" t="s">
        <v>218</v>
      </c>
      <c r="E50" s="270"/>
      <c r="F50" s="270"/>
      <c r="G50" s="271"/>
    </row>
    <row r="51" spans="1:28" x14ac:dyDescent="0.25">
      <c r="A51" s="69" t="s">
        <v>187</v>
      </c>
      <c r="B51" s="224" t="s">
        <v>28</v>
      </c>
      <c r="C51" s="215"/>
      <c r="D51" s="274" t="s">
        <v>187</v>
      </c>
      <c r="E51" s="274"/>
      <c r="F51" s="274"/>
      <c r="G51" s="225" t="s">
        <v>28</v>
      </c>
    </row>
    <row r="52" spans="1:28" x14ac:dyDescent="0.25">
      <c r="A52" s="69"/>
      <c r="B52" s="224"/>
      <c r="C52" s="227"/>
      <c r="D52" s="227"/>
      <c r="E52" s="227"/>
      <c r="F52" s="227"/>
      <c r="G52" s="255"/>
      <c r="AB52" t="e">
        <f>#REF!</f>
        <v>#REF!</v>
      </c>
    </row>
    <row r="53" spans="1:28" x14ac:dyDescent="0.25">
      <c r="A53" s="226" t="s">
        <v>188</v>
      </c>
      <c r="B53" s="24"/>
      <c r="C53" s="227"/>
      <c r="D53" s="227" t="s">
        <v>188</v>
      </c>
      <c r="E53" s="227"/>
      <c r="F53" s="227"/>
      <c r="G53" s="256"/>
    </row>
    <row r="54" spans="1:28" x14ac:dyDescent="0.25">
      <c r="A54" s="226" t="s">
        <v>189</v>
      </c>
      <c r="B54" s="24"/>
      <c r="C54" s="227"/>
      <c r="D54" s="227" t="s">
        <v>189</v>
      </c>
      <c r="E54" s="227"/>
      <c r="F54" s="227"/>
      <c r="G54" s="256"/>
    </row>
    <row r="55" spans="1:28" x14ac:dyDescent="0.25">
      <c r="A55" s="226" t="s">
        <v>190</v>
      </c>
      <c r="B55" s="24"/>
      <c r="C55" s="227"/>
      <c r="D55" s="227" t="s">
        <v>190</v>
      </c>
      <c r="E55" s="227"/>
      <c r="F55" s="227"/>
      <c r="G55" s="256"/>
    </row>
    <row r="56" spans="1:28" x14ac:dyDescent="0.25">
      <c r="A56" s="226" t="s">
        <v>191</v>
      </c>
      <c r="B56" s="24"/>
      <c r="C56" s="227"/>
      <c r="D56" s="227" t="s">
        <v>191</v>
      </c>
      <c r="E56" s="227"/>
      <c r="F56" s="227"/>
      <c r="G56" s="256"/>
    </row>
    <row r="57" spans="1:28" x14ac:dyDescent="0.25">
      <c r="A57" s="226" t="s">
        <v>192</v>
      </c>
      <c r="B57" s="24"/>
      <c r="C57" s="227"/>
      <c r="D57" s="227" t="s">
        <v>192</v>
      </c>
      <c r="E57" s="227"/>
      <c r="F57" s="227"/>
      <c r="G57" s="256"/>
    </row>
    <row r="58" spans="1:28" ht="15" customHeight="1" x14ac:dyDescent="0.25">
      <c r="A58" s="226" t="s">
        <v>193</v>
      </c>
      <c r="B58" s="24"/>
      <c r="C58" s="227"/>
      <c r="D58" s="227" t="s">
        <v>193</v>
      </c>
      <c r="E58" s="227"/>
      <c r="F58" s="227"/>
      <c r="G58" s="256"/>
    </row>
    <row r="59" spans="1:28" ht="15" customHeight="1" x14ac:dyDescent="0.25">
      <c r="A59" s="226" t="s">
        <v>194</v>
      </c>
      <c r="B59" s="24"/>
      <c r="C59" s="227"/>
      <c r="D59" s="227" t="s">
        <v>194</v>
      </c>
      <c r="E59" s="227"/>
      <c r="F59" s="227"/>
      <c r="G59" s="256"/>
    </row>
    <row r="60" spans="1:28" ht="15" customHeight="1" x14ac:dyDescent="0.25">
      <c r="A60" s="226" t="s">
        <v>195</v>
      </c>
      <c r="B60" s="24"/>
      <c r="C60" s="227"/>
      <c r="D60" s="227" t="s">
        <v>195</v>
      </c>
      <c r="E60" s="227"/>
      <c r="F60" s="227"/>
      <c r="G60" s="256"/>
    </row>
    <row r="61" spans="1:28" x14ac:dyDescent="0.25">
      <c r="A61" s="226" t="s">
        <v>196</v>
      </c>
      <c r="B61" s="24"/>
      <c r="C61" s="227"/>
      <c r="D61" s="227" t="s">
        <v>196</v>
      </c>
      <c r="E61" s="227"/>
      <c r="F61" s="227"/>
      <c r="G61" s="256"/>
    </row>
    <row r="62" spans="1:28" x14ac:dyDescent="0.25">
      <c r="A62" s="226" t="s">
        <v>197</v>
      </c>
      <c r="B62" s="24"/>
      <c r="C62" s="227"/>
      <c r="D62" s="227" t="s">
        <v>197</v>
      </c>
      <c r="E62" s="227"/>
      <c r="F62" s="227"/>
      <c r="G62" s="256"/>
    </row>
    <row r="63" spans="1:28" x14ac:dyDescent="0.25">
      <c r="A63" s="257" t="s">
        <v>199</v>
      </c>
      <c r="B63" s="24"/>
      <c r="C63" s="227"/>
      <c r="D63" s="258" t="s">
        <v>199</v>
      </c>
      <c r="E63" s="227"/>
      <c r="F63" s="227"/>
      <c r="G63" s="228"/>
    </row>
    <row r="64" spans="1:28" x14ac:dyDescent="0.25">
      <c r="A64" s="259"/>
      <c r="B64" s="24"/>
      <c r="C64" s="227"/>
      <c r="D64" s="272"/>
      <c r="E64" s="272"/>
      <c r="F64" s="272"/>
      <c r="G64" s="228"/>
    </row>
    <row r="65" spans="1:7" x14ac:dyDescent="0.25">
      <c r="A65" s="259"/>
      <c r="B65" s="24"/>
      <c r="C65" s="227"/>
      <c r="D65" s="273"/>
      <c r="E65" s="273"/>
      <c r="F65" s="273"/>
      <c r="G65" s="228"/>
    </row>
    <row r="66" spans="1:7" x14ac:dyDescent="0.25">
      <c r="A66" s="259"/>
      <c r="B66" s="24"/>
      <c r="C66" s="227"/>
      <c r="D66" s="273"/>
      <c r="E66" s="273"/>
      <c r="F66" s="273"/>
      <c r="G66" s="228"/>
    </row>
    <row r="67" spans="1:7" x14ac:dyDescent="0.25">
      <c r="A67" s="259"/>
      <c r="B67" s="24"/>
      <c r="C67" s="227"/>
      <c r="D67" s="273"/>
      <c r="E67" s="273"/>
      <c r="F67" s="273"/>
      <c r="G67" s="228"/>
    </row>
    <row r="68" spans="1:7" ht="15.75" thickBot="1" x14ac:dyDescent="0.3">
      <c r="A68" s="229" t="s">
        <v>198</v>
      </c>
      <c r="B68" s="230">
        <f>SUM(B53:B67)</f>
        <v>0</v>
      </c>
      <c r="C68" s="260"/>
      <c r="D68" s="268" t="s">
        <v>198</v>
      </c>
      <c r="E68" s="268"/>
      <c r="F68" s="268"/>
      <c r="G68" s="231">
        <f>SUM(G53:G67)</f>
        <v>0</v>
      </c>
    </row>
    <row r="69" spans="1:7" x14ac:dyDescent="0.25">
      <c r="A69" s="258"/>
      <c r="B69" s="45"/>
      <c r="C69" s="114"/>
      <c r="D69" s="114"/>
      <c r="E69" s="114"/>
      <c r="F69" s="114"/>
      <c r="G69" s="114"/>
    </row>
    <row r="70" spans="1:7" x14ac:dyDescent="0.25">
      <c r="B70" s="222"/>
      <c r="C70" s="13"/>
    </row>
    <row r="71" spans="1:7" x14ac:dyDescent="0.25">
      <c r="B71" s="13"/>
      <c r="C71" s="13"/>
    </row>
  </sheetData>
  <mergeCells count="33">
    <mergeCell ref="A2:C2"/>
    <mergeCell ref="A15:E16"/>
    <mergeCell ref="A4:G6"/>
    <mergeCell ref="I2:K2"/>
    <mergeCell ref="A8:G9"/>
    <mergeCell ref="A11:G13"/>
    <mergeCell ref="I3:J3"/>
    <mergeCell ref="I4:I5"/>
    <mergeCell ref="J4:J5"/>
    <mergeCell ref="K6:L6"/>
    <mergeCell ref="K4:K5"/>
    <mergeCell ref="A18:G18"/>
    <mergeCell ref="A19:G21"/>
    <mergeCell ref="I11:J11"/>
    <mergeCell ref="A38:G39"/>
    <mergeCell ref="A41:G42"/>
    <mergeCell ref="I21:L22"/>
    <mergeCell ref="A37:G37"/>
    <mergeCell ref="A23:G24"/>
    <mergeCell ref="A26:G28"/>
    <mergeCell ref="A33:G33"/>
    <mergeCell ref="A34:G35"/>
    <mergeCell ref="A45:C45"/>
    <mergeCell ref="A46:A48"/>
    <mergeCell ref="B46:G48"/>
    <mergeCell ref="D68:F68"/>
    <mergeCell ref="A50:B50"/>
    <mergeCell ref="D50:G50"/>
    <mergeCell ref="D64:F64"/>
    <mergeCell ref="D65:F65"/>
    <mergeCell ref="D66:F66"/>
    <mergeCell ref="D67:F67"/>
    <mergeCell ref="D51:F51"/>
  </mergeCells>
  <hyperlinks>
    <hyperlink ref="A38" r:id="rId1"/>
    <hyperlink ref="A34" r:id="rId2"/>
  </hyperlinks>
  <pageMargins left="0.7" right="0.7" top="0.75" bottom="0.75" header="0.3" footer="0.3"/>
  <pageSetup orientation="portrait" horizontalDpi="300" verticalDpi="3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4"/>
  <sheetViews>
    <sheetView zoomScale="110" zoomScaleNormal="110" workbookViewId="0">
      <selection activeCell="G13" sqref="G13"/>
    </sheetView>
  </sheetViews>
  <sheetFormatPr defaultRowHeight="15" x14ac:dyDescent="0.25"/>
  <cols>
    <col min="1" max="1" width="17.5703125" customWidth="1"/>
    <col min="2" max="2" width="20.85546875" customWidth="1"/>
    <col min="3" max="3" width="23" customWidth="1"/>
    <col min="4" max="5" width="9.42578125" customWidth="1"/>
    <col min="7" max="7" width="17.28515625" customWidth="1"/>
    <col min="8" max="8" width="17.7109375" customWidth="1"/>
    <col min="9" max="9" width="21" customWidth="1"/>
    <col min="10" max="10" width="26.7109375" customWidth="1"/>
    <col min="11" max="11" width="17.85546875" customWidth="1"/>
    <col min="12" max="12" width="11.42578125" customWidth="1"/>
    <col min="17" max="18" width="9.140625" style="99"/>
    <col min="19" max="19" width="3.85546875" customWidth="1"/>
    <col min="20" max="20" width="4.7109375" customWidth="1"/>
    <col min="21" max="21" width="9.85546875" customWidth="1"/>
    <col min="22" max="22" width="8.85546875" customWidth="1"/>
    <col min="23" max="23" width="7.85546875" customWidth="1"/>
    <col min="24" max="24" width="7.42578125" customWidth="1"/>
    <col min="25" max="25" width="8.140625" customWidth="1"/>
    <col min="26" max="26" width="7.42578125" customWidth="1"/>
    <col min="27" max="27" width="8" customWidth="1"/>
    <col min="28" max="28" width="7.42578125" customWidth="1"/>
    <col min="29" max="29" width="8.5703125" customWidth="1"/>
    <col min="30" max="30" width="8.42578125" customWidth="1"/>
    <col min="31" max="31" width="12" style="13" customWidth="1"/>
    <col min="32" max="37" width="12" customWidth="1"/>
  </cols>
  <sheetData>
    <row r="1" spans="1:31" ht="30.75" customHeight="1" thickBot="1" x14ac:dyDescent="0.4">
      <c r="A1" s="312" t="s">
        <v>129</v>
      </c>
      <c r="B1" s="312"/>
      <c r="C1" s="312"/>
      <c r="D1" s="312"/>
      <c r="E1" s="312"/>
      <c r="F1" s="148"/>
      <c r="G1" s="153"/>
      <c r="H1" s="153"/>
      <c r="I1" s="310" t="s">
        <v>219</v>
      </c>
      <c r="J1" s="310"/>
      <c r="K1" s="186"/>
      <c r="L1" s="186"/>
      <c r="T1" s="75" t="s">
        <v>38</v>
      </c>
      <c r="U1" s="76" t="s">
        <v>39</v>
      </c>
      <c r="V1" s="77" t="s">
        <v>40</v>
      </c>
      <c r="W1" s="77" t="s">
        <v>41</v>
      </c>
      <c r="X1" s="77" t="s">
        <v>42</v>
      </c>
      <c r="Y1" s="77" t="s">
        <v>43</v>
      </c>
      <c r="Z1" s="77" t="s">
        <v>56</v>
      </c>
      <c r="AA1" s="77" t="s">
        <v>55</v>
      </c>
      <c r="AB1" s="77" t="s">
        <v>44</v>
      </c>
      <c r="AC1" s="77" t="s">
        <v>45</v>
      </c>
      <c r="AD1" s="155" t="s">
        <v>46</v>
      </c>
    </row>
    <row r="2" spans="1:31" ht="15.75" customHeight="1" thickBot="1" x14ac:dyDescent="0.3">
      <c r="A2" s="313"/>
      <c r="B2" s="313"/>
      <c r="C2" s="313"/>
      <c r="D2" s="313"/>
      <c r="E2" s="313"/>
      <c r="F2" s="148"/>
      <c r="T2" s="78" t="s">
        <v>212</v>
      </c>
      <c r="U2" s="79"/>
      <c r="V2" s="80"/>
      <c r="W2" s="80"/>
      <c r="X2" s="80"/>
      <c r="Y2" s="80"/>
      <c r="Z2" s="80"/>
      <c r="AA2" s="80"/>
      <c r="AB2" s="80"/>
      <c r="AC2" s="80"/>
      <c r="AD2" s="81"/>
    </row>
    <row r="3" spans="1:31" x14ac:dyDescent="0.25">
      <c r="A3" s="311" t="s">
        <v>0</v>
      </c>
      <c r="B3" s="311"/>
      <c r="C3" s="145" t="s">
        <v>4</v>
      </c>
      <c r="G3" s="317" t="s">
        <v>206</v>
      </c>
      <c r="H3" s="318"/>
      <c r="I3" s="318"/>
      <c r="J3" s="11"/>
      <c r="K3" s="13"/>
      <c r="T3" s="82"/>
      <c r="U3" s="83"/>
      <c r="V3" s="83"/>
      <c r="W3" s="83"/>
      <c r="X3" s="83"/>
      <c r="Y3" s="83"/>
      <c r="Z3" s="83"/>
      <c r="AA3" s="83"/>
      <c r="AB3" s="83"/>
      <c r="AC3" s="83"/>
      <c r="AD3" s="84"/>
    </row>
    <row r="4" spans="1:31" ht="15" customHeight="1" x14ac:dyDescent="0.25">
      <c r="A4" s="1" t="s">
        <v>138</v>
      </c>
      <c r="B4" s="160"/>
      <c r="C4" s="146"/>
      <c r="G4" s="12"/>
      <c r="H4" s="13"/>
      <c r="I4" s="13"/>
      <c r="J4" s="14"/>
      <c r="K4" s="37"/>
      <c r="L4" s="38"/>
      <c r="T4" s="82" t="s">
        <v>30</v>
      </c>
      <c r="U4" s="83" t="s">
        <v>31</v>
      </c>
      <c r="V4" s="83" t="s">
        <v>32</v>
      </c>
      <c r="W4" s="83" t="s">
        <v>33</v>
      </c>
      <c r="X4" s="83" t="s">
        <v>47</v>
      </c>
      <c r="Y4" s="83" t="s">
        <v>54</v>
      </c>
      <c r="Z4" s="83" t="s">
        <v>34</v>
      </c>
      <c r="AA4" s="83" t="s">
        <v>35</v>
      </c>
      <c r="AB4" s="83" t="s">
        <v>36</v>
      </c>
      <c r="AC4" s="83" t="s">
        <v>52</v>
      </c>
      <c r="AD4" s="84" t="s">
        <v>37</v>
      </c>
    </row>
    <row r="5" spans="1:31" ht="16.5" customHeight="1" thickBot="1" x14ac:dyDescent="0.3">
      <c r="A5" s="1" t="s">
        <v>2</v>
      </c>
      <c r="B5" s="3"/>
      <c r="C5" s="146"/>
      <c r="G5" s="19" t="s">
        <v>27</v>
      </c>
      <c r="H5" s="20" t="s">
        <v>29</v>
      </c>
      <c r="I5" s="20" t="s">
        <v>53</v>
      </c>
      <c r="J5" s="15" t="s">
        <v>4</v>
      </c>
      <c r="K5" s="37"/>
      <c r="L5" s="38"/>
      <c r="T5" s="82">
        <v>0</v>
      </c>
      <c r="U5" s="85">
        <f>I6</f>
        <v>0</v>
      </c>
      <c r="V5" s="85">
        <f>$I$7</f>
        <v>0</v>
      </c>
      <c r="W5" s="85">
        <f t="shared" ref="W5:W21" si="0">$I$8</f>
        <v>0</v>
      </c>
      <c r="X5" s="85">
        <f t="shared" ref="X5:X21" si="1">$I$9</f>
        <v>0</v>
      </c>
      <c r="Y5" s="85">
        <f>$I$10</f>
        <v>0</v>
      </c>
      <c r="Z5" s="85">
        <f>$I$11</f>
        <v>0</v>
      </c>
      <c r="AA5" s="85">
        <f>$I$12</f>
        <v>0</v>
      </c>
      <c r="AB5" s="85">
        <f>$I$13</f>
        <v>0</v>
      </c>
      <c r="AC5" s="83"/>
      <c r="AD5" s="84"/>
      <c r="AE5" s="31"/>
    </row>
    <row r="6" spans="1:31" ht="15" customHeight="1" x14ac:dyDescent="0.25">
      <c r="A6" s="1" t="s">
        <v>3</v>
      </c>
      <c r="B6" s="3"/>
      <c r="C6" s="146" t="s">
        <v>168</v>
      </c>
      <c r="G6" s="16" t="s">
        <v>22</v>
      </c>
      <c r="H6" s="13">
        <v>1</v>
      </c>
      <c r="I6" s="103">
        <f>General!K25</f>
        <v>0</v>
      </c>
      <c r="J6" s="14"/>
      <c r="K6" s="13"/>
      <c r="L6" s="38"/>
      <c r="T6" s="82">
        <f>T5+3</f>
        <v>3</v>
      </c>
      <c r="U6" s="83"/>
      <c r="V6" s="85">
        <f t="shared" ref="V6:V21" si="2">$I$7</f>
        <v>0</v>
      </c>
      <c r="W6" s="85">
        <f t="shared" si="0"/>
        <v>0</v>
      </c>
      <c r="X6" s="85">
        <f t="shared" si="1"/>
        <v>0</v>
      </c>
      <c r="Y6" s="85">
        <f t="shared" ref="Y6:Y21" si="3">$I$10</f>
        <v>0</v>
      </c>
      <c r="Z6" s="85">
        <f t="shared" ref="Z6:Z21" si="4">$I$11</f>
        <v>0</v>
      </c>
      <c r="AA6" s="85">
        <f t="shared" ref="AA6:AA21" si="5">$I$12</f>
        <v>0</v>
      </c>
      <c r="AB6" s="85">
        <f t="shared" ref="AB6:AB21" si="6">$I$13</f>
        <v>0</v>
      </c>
      <c r="AC6" s="83"/>
      <c r="AD6" s="84"/>
      <c r="AE6" s="31"/>
    </row>
    <row r="7" spans="1:31" x14ac:dyDescent="0.25">
      <c r="A7" s="1" t="s">
        <v>14</v>
      </c>
      <c r="B7" s="144"/>
      <c r="C7" s="147" t="s">
        <v>140</v>
      </c>
      <c r="G7" s="12" t="s">
        <v>50</v>
      </c>
      <c r="H7" s="17" t="s">
        <v>144</v>
      </c>
      <c r="I7" s="101">
        <f>General!K26</f>
        <v>0</v>
      </c>
      <c r="J7" s="14" t="s">
        <v>49</v>
      </c>
      <c r="K7" s="13"/>
      <c r="L7" s="38"/>
      <c r="T7" s="82">
        <f>T6+2</f>
        <v>5</v>
      </c>
      <c r="U7" s="83"/>
      <c r="V7" s="85">
        <f t="shared" si="2"/>
        <v>0</v>
      </c>
      <c r="W7" s="85">
        <f t="shared" si="0"/>
        <v>0</v>
      </c>
      <c r="X7" s="85">
        <f t="shared" si="1"/>
        <v>0</v>
      </c>
      <c r="Y7" s="85">
        <f t="shared" si="3"/>
        <v>0</v>
      </c>
      <c r="Z7" s="85">
        <f t="shared" si="4"/>
        <v>0</v>
      </c>
      <c r="AA7" s="85">
        <f t="shared" si="5"/>
        <v>0</v>
      </c>
      <c r="AB7" s="85">
        <f t="shared" si="6"/>
        <v>0</v>
      </c>
      <c r="AC7" s="83"/>
      <c r="AD7" s="84"/>
      <c r="AE7" s="31"/>
    </row>
    <row r="8" spans="1:31" x14ac:dyDescent="0.25">
      <c r="A8" s="1" t="s">
        <v>15</v>
      </c>
      <c r="B8" s="144"/>
      <c r="C8" s="147" t="s">
        <v>139</v>
      </c>
      <c r="G8" s="12" t="s">
        <v>23</v>
      </c>
      <c r="H8" s="17" t="s">
        <v>144</v>
      </c>
      <c r="I8" s="101">
        <f>General!K27</f>
        <v>0</v>
      </c>
      <c r="J8" s="14"/>
      <c r="K8" s="13"/>
      <c r="L8" s="38"/>
      <c r="T8" s="82">
        <f t="shared" ref="T8:T22" si="7">T7+2</f>
        <v>7</v>
      </c>
      <c r="U8" s="83"/>
      <c r="V8" s="85">
        <f t="shared" si="2"/>
        <v>0</v>
      </c>
      <c r="W8" s="85">
        <f t="shared" si="0"/>
        <v>0</v>
      </c>
      <c r="X8" s="85">
        <f t="shared" si="1"/>
        <v>0</v>
      </c>
      <c r="Y8" s="85">
        <f t="shared" si="3"/>
        <v>0</v>
      </c>
      <c r="Z8" s="85">
        <f t="shared" si="4"/>
        <v>0</v>
      </c>
      <c r="AA8" s="85">
        <f t="shared" si="5"/>
        <v>0</v>
      </c>
      <c r="AB8" s="85">
        <f t="shared" si="6"/>
        <v>0</v>
      </c>
      <c r="AC8" s="83"/>
      <c r="AD8" s="84"/>
      <c r="AE8" s="31"/>
    </row>
    <row r="9" spans="1:31" ht="15.75" customHeight="1" x14ac:dyDescent="0.25">
      <c r="A9" s="323" t="s">
        <v>112</v>
      </c>
      <c r="B9" s="324"/>
      <c r="C9" s="147"/>
      <c r="G9" s="23" t="s">
        <v>63</v>
      </c>
      <c r="H9" s="17" t="s">
        <v>144</v>
      </c>
      <c r="I9" s="45">
        <f>General!K28</f>
        <v>0</v>
      </c>
      <c r="J9" s="102" t="s">
        <v>48</v>
      </c>
      <c r="K9" s="13"/>
      <c r="L9" s="38"/>
      <c r="T9" s="82">
        <f t="shared" si="7"/>
        <v>9</v>
      </c>
      <c r="U9" s="83"/>
      <c r="V9" s="85">
        <f t="shared" si="2"/>
        <v>0</v>
      </c>
      <c r="W9" s="85">
        <f t="shared" si="0"/>
        <v>0</v>
      </c>
      <c r="X9" s="85">
        <f t="shared" si="1"/>
        <v>0</v>
      </c>
      <c r="Y9" s="85">
        <f t="shared" si="3"/>
        <v>0</v>
      </c>
      <c r="Z9" s="85">
        <f t="shared" si="4"/>
        <v>0</v>
      </c>
      <c r="AA9" s="85">
        <f t="shared" si="5"/>
        <v>0</v>
      </c>
      <c r="AB9" s="85">
        <f t="shared" si="6"/>
        <v>0</v>
      </c>
      <c r="AC9" s="83"/>
      <c r="AD9" s="84"/>
      <c r="AE9" s="31"/>
    </row>
    <row r="10" spans="1:31" ht="16.5" customHeight="1" x14ac:dyDescent="0.25">
      <c r="A10" s="323"/>
      <c r="B10" s="325"/>
      <c r="C10" s="147"/>
      <c r="G10" s="23" t="s">
        <v>64</v>
      </c>
      <c r="H10" s="17" t="s">
        <v>144</v>
      </c>
      <c r="I10" s="187">
        <f>General!K29</f>
        <v>0</v>
      </c>
      <c r="J10" s="102"/>
      <c r="K10" s="13"/>
      <c r="L10" s="38"/>
      <c r="T10" s="82">
        <f t="shared" si="7"/>
        <v>11</v>
      </c>
      <c r="U10" s="83"/>
      <c r="V10" s="85">
        <f t="shared" si="2"/>
        <v>0</v>
      </c>
      <c r="W10" s="85">
        <f t="shared" si="0"/>
        <v>0</v>
      </c>
      <c r="X10" s="85">
        <f t="shared" si="1"/>
        <v>0</v>
      </c>
      <c r="Y10" s="85">
        <f t="shared" si="3"/>
        <v>0</v>
      </c>
      <c r="Z10" s="85">
        <f t="shared" si="4"/>
        <v>0</v>
      </c>
      <c r="AA10" s="85">
        <f t="shared" si="5"/>
        <v>0</v>
      </c>
      <c r="AB10" s="85">
        <f t="shared" si="6"/>
        <v>0</v>
      </c>
      <c r="AC10" s="83"/>
      <c r="AD10" s="84"/>
      <c r="AE10" s="31"/>
    </row>
    <row r="11" spans="1:31" ht="16.5" customHeight="1" x14ac:dyDescent="0.25">
      <c r="A11" s="1" t="s">
        <v>6</v>
      </c>
      <c r="B11" s="160"/>
      <c r="C11" s="147" t="s">
        <v>7</v>
      </c>
      <c r="F11" s="13"/>
      <c r="G11" s="18"/>
      <c r="H11" s="17" t="s">
        <v>144</v>
      </c>
      <c r="I11" s="7"/>
      <c r="J11" s="22"/>
      <c r="K11" s="13"/>
      <c r="L11" s="38"/>
      <c r="T11" s="82">
        <f t="shared" si="7"/>
        <v>13</v>
      </c>
      <c r="U11" s="83"/>
      <c r="V11" s="85">
        <f t="shared" si="2"/>
        <v>0</v>
      </c>
      <c r="W11" s="85">
        <f t="shared" si="0"/>
        <v>0</v>
      </c>
      <c r="X11" s="85">
        <f t="shared" si="1"/>
        <v>0</v>
      </c>
      <c r="Y11" s="85">
        <f t="shared" si="3"/>
        <v>0</v>
      </c>
      <c r="Z11" s="85">
        <f t="shared" si="4"/>
        <v>0</v>
      </c>
      <c r="AA11" s="85">
        <f t="shared" si="5"/>
        <v>0</v>
      </c>
      <c r="AB11" s="85">
        <f t="shared" si="6"/>
        <v>0</v>
      </c>
      <c r="AC11" s="83"/>
      <c r="AD11" s="84"/>
      <c r="AE11" s="31"/>
    </row>
    <row r="12" spans="1:31" ht="16.5" customHeight="1" x14ac:dyDescent="0.25">
      <c r="A12" s="326" t="s">
        <v>18</v>
      </c>
      <c r="B12" s="319" t="s">
        <v>141</v>
      </c>
      <c r="C12" s="327"/>
      <c r="G12" s="18"/>
      <c r="H12" s="17" t="s">
        <v>144</v>
      </c>
      <c r="I12" s="7"/>
      <c r="J12" s="22"/>
      <c r="K12" s="13"/>
      <c r="L12" s="38"/>
      <c r="T12" s="82">
        <f t="shared" si="7"/>
        <v>15</v>
      </c>
      <c r="U12" s="83"/>
      <c r="V12" s="85">
        <f t="shared" si="2"/>
        <v>0</v>
      </c>
      <c r="W12" s="85">
        <f t="shared" si="0"/>
        <v>0</v>
      </c>
      <c r="X12" s="85">
        <f t="shared" si="1"/>
        <v>0</v>
      </c>
      <c r="Y12" s="85">
        <f t="shared" si="3"/>
        <v>0</v>
      </c>
      <c r="Z12" s="85">
        <f t="shared" si="4"/>
        <v>0</v>
      </c>
      <c r="AA12" s="85">
        <f t="shared" si="5"/>
        <v>0</v>
      </c>
      <c r="AB12" s="85">
        <f t="shared" si="6"/>
        <v>0</v>
      </c>
      <c r="AC12" s="83"/>
      <c r="AD12" s="84"/>
      <c r="AE12" s="31"/>
    </row>
    <row r="13" spans="1:31" ht="16.5" customHeight="1" x14ac:dyDescent="0.25">
      <c r="A13" s="326"/>
      <c r="B13" s="319"/>
      <c r="C13" s="327"/>
      <c r="G13" s="18"/>
      <c r="H13" s="17" t="s">
        <v>144</v>
      </c>
      <c r="I13" s="7"/>
      <c r="J13" s="22"/>
      <c r="K13" s="13"/>
      <c r="L13" s="38"/>
      <c r="T13" s="82">
        <f t="shared" si="7"/>
        <v>17</v>
      </c>
      <c r="U13" s="83"/>
      <c r="V13" s="85">
        <f t="shared" si="2"/>
        <v>0</v>
      </c>
      <c r="W13" s="85">
        <f t="shared" si="0"/>
        <v>0</v>
      </c>
      <c r="X13" s="85">
        <f t="shared" si="1"/>
        <v>0</v>
      </c>
      <c r="Y13" s="85">
        <f t="shared" si="3"/>
        <v>0</v>
      </c>
      <c r="Z13" s="85">
        <f t="shared" si="4"/>
        <v>0</v>
      </c>
      <c r="AA13" s="85">
        <f t="shared" si="5"/>
        <v>0</v>
      </c>
      <c r="AB13" s="85">
        <f t="shared" si="6"/>
        <v>0</v>
      </c>
      <c r="AC13" s="83"/>
      <c r="AD13" s="84"/>
      <c r="AE13" s="31"/>
    </row>
    <row r="14" spans="1:31" ht="16.5" customHeight="1" x14ac:dyDescent="0.25">
      <c r="A14" s="326"/>
      <c r="B14" s="319"/>
      <c r="C14" s="327"/>
      <c r="G14" s="33"/>
      <c r="H14" s="8"/>
      <c r="I14" s="7"/>
      <c r="J14" s="314" t="s">
        <v>97</v>
      </c>
      <c r="K14" s="13"/>
      <c r="L14" s="74"/>
      <c r="T14" s="82">
        <f t="shared" si="7"/>
        <v>19</v>
      </c>
      <c r="U14" s="83"/>
      <c r="V14" s="85">
        <f t="shared" si="2"/>
        <v>0</v>
      </c>
      <c r="W14" s="85">
        <f t="shared" si="0"/>
        <v>0</v>
      </c>
      <c r="X14" s="85">
        <f t="shared" si="1"/>
        <v>0</v>
      </c>
      <c r="Y14" s="85">
        <f t="shared" si="3"/>
        <v>0</v>
      </c>
      <c r="Z14" s="85">
        <f t="shared" si="4"/>
        <v>0</v>
      </c>
      <c r="AA14" s="85">
        <f t="shared" si="5"/>
        <v>0</v>
      </c>
      <c r="AB14" s="85">
        <f t="shared" si="6"/>
        <v>0</v>
      </c>
      <c r="AC14" s="83"/>
      <c r="AD14" s="84"/>
      <c r="AE14" s="31"/>
    </row>
    <row r="15" spans="1:31" ht="16.5" customHeight="1" x14ac:dyDescent="0.25">
      <c r="A15" s="320" t="s">
        <v>17</v>
      </c>
      <c r="B15" s="319" t="s">
        <v>141</v>
      </c>
      <c r="C15" s="316" t="s">
        <v>142</v>
      </c>
      <c r="G15" s="18"/>
      <c r="H15" s="8"/>
      <c r="I15" s="7"/>
      <c r="J15" s="314"/>
      <c r="K15" s="13"/>
      <c r="T15" s="82">
        <f t="shared" si="7"/>
        <v>21</v>
      </c>
      <c r="U15" s="83"/>
      <c r="V15" s="85">
        <f t="shared" si="2"/>
        <v>0</v>
      </c>
      <c r="W15" s="85">
        <f t="shared" si="0"/>
        <v>0</v>
      </c>
      <c r="X15" s="85">
        <f t="shared" si="1"/>
        <v>0</v>
      </c>
      <c r="Y15" s="85">
        <f t="shared" si="3"/>
        <v>0</v>
      </c>
      <c r="Z15" s="85">
        <f t="shared" si="4"/>
        <v>0</v>
      </c>
      <c r="AA15" s="85">
        <f t="shared" si="5"/>
        <v>0</v>
      </c>
      <c r="AB15" s="85">
        <f t="shared" si="6"/>
        <v>0</v>
      </c>
      <c r="AC15" s="83"/>
      <c r="AD15" s="84"/>
      <c r="AE15" s="31"/>
    </row>
    <row r="16" spans="1:31" ht="15" customHeight="1" x14ac:dyDescent="0.25">
      <c r="A16" s="320"/>
      <c r="B16" s="319"/>
      <c r="C16" s="316"/>
      <c r="G16" s="18"/>
      <c r="H16" s="8"/>
      <c r="I16" s="7"/>
      <c r="J16" s="314"/>
      <c r="K16" s="13"/>
      <c r="T16" s="82">
        <f t="shared" si="7"/>
        <v>23</v>
      </c>
      <c r="U16" s="83"/>
      <c r="V16" s="85">
        <f t="shared" si="2"/>
        <v>0</v>
      </c>
      <c r="W16" s="85">
        <f t="shared" si="0"/>
        <v>0</v>
      </c>
      <c r="X16" s="85">
        <f t="shared" si="1"/>
        <v>0</v>
      </c>
      <c r="Y16" s="85">
        <f t="shared" si="3"/>
        <v>0</v>
      </c>
      <c r="Z16" s="85">
        <f t="shared" si="4"/>
        <v>0</v>
      </c>
      <c r="AA16" s="85">
        <f t="shared" si="5"/>
        <v>0</v>
      </c>
      <c r="AB16" s="85">
        <f t="shared" si="6"/>
        <v>0</v>
      </c>
      <c r="AC16" s="83"/>
      <c r="AD16" s="84"/>
      <c r="AE16" s="31"/>
    </row>
    <row r="17" spans="1:31" ht="16.5" customHeight="1" x14ac:dyDescent="0.25">
      <c r="G17" s="18"/>
      <c r="H17" s="8"/>
      <c r="I17" s="7"/>
      <c r="J17" s="239"/>
      <c r="K17" s="13"/>
      <c r="T17" s="82">
        <f t="shared" si="7"/>
        <v>25</v>
      </c>
      <c r="U17" s="83"/>
      <c r="V17" s="85">
        <f t="shared" si="2"/>
        <v>0</v>
      </c>
      <c r="W17" s="85">
        <f t="shared" si="0"/>
        <v>0</v>
      </c>
      <c r="X17" s="85">
        <f t="shared" si="1"/>
        <v>0</v>
      </c>
      <c r="Y17" s="85">
        <f t="shared" si="3"/>
        <v>0</v>
      </c>
      <c r="Z17" s="85">
        <f t="shared" si="4"/>
        <v>0</v>
      </c>
      <c r="AA17" s="85">
        <f t="shared" si="5"/>
        <v>0</v>
      </c>
      <c r="AB17" s="85">
        <f t="shared" si="6"/>
        <v>0</v>
      </c>
      <c r="AC17" s="83"/>
      <c r="AD17" s="84"/>
      <c r="AE17" s="31"/>
    </row>
    <row r="18" spans="1:31" ht="15" customHeight="1" x14ac:dyDescent="0.25">
      <c r="A18" s="311" t="s">
        <v>8</v>
      </c>
      <c r="B18" s="311"/>
      <c r="G18" s="18"/>
      <c r="H18" s="8"/>
      <c r="I18" s="7"/>
      <c r="J18" s="239"/>
      <c r="K18" s="13"/>
      <c r="T18" s="82">
        <f t="shared" si="7"/>
        <v>27</v>
      </c>
      <c r="U18" s="83"/>
      <c r="V18" s="85">
        <f t="shared" si="2"/>
        <v>0</v>
      </c>
      <c r="W18" s="85">
        <f t="shared" si="0"/>
        <v>0</v>
      </c>
      <c r="X18" s="85">
        <f t="shared" si="1"/>
        <v>0</v>
      </c>
      <c r="Y18" s="85">
        <f t="shared" si="3"/>
        <v>0</v>
      </c>
      <c r="Z18" s="85">
        <f t="shared" si="4"/>
        <v>0</v>
      </c>
      <c r="AA18" s="85">
        <f t="shared" si="5"/>
        <v>0</v>
      </c>
      <c r="AB18" s="85">
        <f t="shared" si="6"/>
        <v>0</v>
      </c>
      <c r="AC18" s="83"/>
      <c r="AD18" s="84"/>
      <c r="AE18" s="31"/>
    </row>
    <row r="19" spans="1:31" ht="15" customHeight="1" x14ac:dyDescent="0.25">
      <c r="A19" s="315" t="s">
        <v>204</v>
      </c>
      <c r="B19" s="315"/>
      <c r="C19" s="315"/>
      <c r="G19" s="12" t="s">
        <v>51</v>
      </c>
      <c r="H19" s="59">
        <f>General!J30</f>
        <v>0</v>
      </c>
      <c r="I19" s="101">
        <f>General!K30</f>
        <v>0</v>
      </c>
      <c r="J19" s="14" t="s">
        <v>24</v>
      </c>
      <c r="K19" s="13"/>
      <c r="T19" s="82">
        <f t="shared" si="7"/>
        <v>29</v>
      </c>
      <c r="U19" s="83"/>
      <c r="V19" s="85">
        <f t="shared" si="2"/>
        <v>0</v>
      </c>
      <c r="W19" s="85">
        <f t="shared" si="0"/>
        <v>0</v>
      </c>
      <c r="X19" s="85">
        <f t="shared" si="1"/>
        <v>0</v>
      </c>
      <c r="Y19" s="85">
        <f t="shared" si="3"/>
        <v>0</v>
      </c>
      <c r="Z19" s="85">
        <f t="shared" si="4"/>
        <v>0</v>
      </c>
      <c r="AA19" s="85">
        <f t="shared" si="5"/>
        <v>0</v>
      </c>
      <c r="AB19" s="85">
        <f t="shared" si="6"/>
        <v>0</v>
      </c>
      <c r="AC19" s="83"/>
      <c r="AD19" s="84"/>
      <c r="AE19" s="31"/>
    </row>
    <row r="20" spans="1:31" ht="15" customHeight="1" thickBot="1" x14ac:dyDescent="0.3">
      <c r="A20" s="315"/>
      <c r="B20" s="315"/>
      <c r="C20" s="315"/>
      <c r="G20" s="19" t="s">
        <v>71</v>
      </c>
      <c r="H20" s="116">
        <f>General!J31</f>
        <v>0</v>
      </c>
      <c r="I20" s="246">
        <f>General!K31</f>
        <v>0</v>
      </c>
      <c r="J20" s="21" t="s">
        <v>24</v>
      </c>
      <c r="K20" s="13"/>
      <c r="T20" s="82">
        <f t="shared" si="7"/>
        <v>31</v>
      </c>
      <c r="U20" s="83"/>
      <c r="V20" s="85">
        <f t="shared" si="2"/>
        <v>0</v>
      </c>
      <c r="W20" s="85">
        <f t="shared" si="0"/>
        <v>0</v>
      </c>
      <c r="X20" s="85">
        <f t="shared" si="1"/>
        <v>0</v>
      </c>
      <c r="Y20" s="85">
        <f t="shared" si="3"/>
        <v>0</v>
      </c>
      <c r="Z20" s="85">
        <f t="shared" si="4"/>
        <v>0</v>
      </c>
      <c r="AA20" s="85">
        <f t="shared" si="5"/>
        <v>0</v>
      </c>
      <c r="AB20" s="85">
        <f t="shared" si="6"/>
        <v>0</v>
      </c>
      <c r="AC20" s="83"/>
      <c r="AD20" s="84"/>
      <c r="AE20" s="31"/>
    </row>
    <row r="21" spans="1:31" ht="15" customHeight="1" x14ac:dyDescent="0.25">
      <c r="A21" s="328"/>
      <c r="B21" s="329"/>
      <c r="C21" s="330"/>
      <c r="G21" s="13"/>
      <c r="H21" s="13"/>
      <c r="I21" s="13"/>
      <c r="J21" s="13"/>
      <c r="K21" s="13"/>
      <c r="T21" s="82">
        <f t="shared" si="7"/>
        <v>33</v>
      </c>
      <c r="U21" s="83"/>
      <c r="V21" s="85">
        <f t="shared" si="2"/>
        <v>0</v>
      </c>
      <c r="W21" s="85">
        <f t="shared" si="0"/>
        <v>0</v>
      </c>
      <c r="X21" s="85">
        <f t="shared" si="1"/>
        <v>0</v>
      </c>
      <c r="Y21" s="85">
        <f t="shared" si="3"/>
        <v>0</v>
      </c>
      <c r="Z21" s="85">
        <f t="shared" si="4"/>
        <v>0</v>
      </c>
      <c r="AA21" s="85">
        <f t="shared" si="5"/>
        <v>0</v>
      </c>
      <c r="AB21" s="85">
        <f t="shared" si="6"/>
        <v>0</v>
      </c>
      <c r="AC21" s="83"/>
      <c r="AD21" s="84"/>
      <c r="AE21" s="31"/>
    </row>
    <row r="22" spans="1:31" x14ac:dyDescent="0.25">
      <c r="A22" s="331"/>
      <c r="B22" s="332"/>
      <c r="C22" s="333"/>
      <c r="F22" s="13"/>
      <c r="G22" s="13"/>
      <c r="H22" s="13"/>
      <c r="I22" s="13"/>
      <c r="J22" s="13"/>
      <c r="K22" s="13"/>
      <c r="T22" s="82">
        <f t="shared" si="7"/>
        <v>35</v>
      </c>
      <c r="U22" s="83"/>
      <c r="V22" s="85"/>
      <c r="W22" s="85"/>
      <c r="X22" s="85"/>
      <c r="Y22" s="85"/>
      <c r="Z22" s="85"/>
      <c r="AA22" s="85"/>
      <c r="AB22" s="85"/>
      <c r="AC22" s="85">
        <f>-I19</f>
        <v>0</v>
      </c>
      <c r="AD22" s="86">
        <f>-I20</f>
        <v>0</v>
      </c>
      <c r="AE22" s="31"/>
    </row>
    <row r="23" spans="1:31" ht="15.75" thickBot="1" x14ac:dyDescent="0.3">
      <c r="A23" s="331"/>
      <c r="B23" s="332"/>
      <c r="C23" s="333"/>
      <c r="F23" s="13"/>
      <c r="G23" s="235"/>
      <c r="H23" s="235"/>
      <c r="I23" s="234"/>
      <c r="J23" s="13"/>
      <c r="K23" s="13"/>
      <c r="T23" s="87"/>
      <c r="U23" s="88"/>
      <c r="V23" s="88"/>
      <c r="W23" s="88"/>
      <c r="X23" s="88"/>
      <c r="Y23" s="88"/>
      <c r="Z23" s="88"/>
      <c r="AA23" s="88"/>
      <c r="AB23" s="88"/>
      <c r="AC23" s="88"/>
      <c r="AD23" s="154"/>
    </row>
    <row r="24" spans="1:31" x14ac:dyDescent="0.25">
      <c r="A24" s="331"/>
      <c r="B24" s="332"/>
      <c r="C24" s="333"/>
      <c r="Z24" s="30"/>
      <c r="AA24" s="13"/>
    </row>
    <row r="25" spans="1:31" x14ac:dyDescent="0.25">
      <c r="A25" s="331"/>
      <c r="B25" s="332"/>
      <c r="C25" s="333"/>
    </row>
    <row r="26" spans="1:31" x14ac:dyDescent="0.25">
      <c r="A26" s="331"/>
      <c r="B26" s="332"/>
      <c r="C26" s="333"/>
    </row>
    <row r="27" spans="1:31" x14ac:dyDescent="0.25">
      <c r="A27" s="331"/>
      <c r="B27" s="332"/>
      <c r="C27" s="333"/>
    </row>
    <row r="28" spans="1:31" x14ac:dyDescent="0.25">
      <c r="A28" s="331"/>
      <c r="B28" s="332"/>
      <c r="C28" s="333"/>
    </row>
    <row r="29" spans="1:31" x14ac:dyDescent="0.25">
      <c r="A29" s="331"/>
      <c r="B29" s="332"/>
      <c r="C29" s="333"/>
    </row>
    <row r="30" spans="1:31" x14ac:dyDescent="0.25">
      <c r="A30" s="334"/>
      <c r="B30" s="335"/>
      <c r="C30" s="336"/>
      <c r="AD30" s="13"/>
    </row>
    <row r="31" spans="1:31" x14ac:dyDescent="0.25">
      <c r="A31" s="65"/>
      <c r="B31" s="65"/>
      <c r="C31" s="65"/>
    </row>
    <row r="32" spans="1:31" x14ac:dyDescent="0.25">
      <c r="A32" s="311" t="s">
        <v>9</v>
      </c>
      <c r="B32" s="311"/>
    </row>
    <row r="33" spans="1:30" x14ac:dyDescent="0.25">
      <c r="A33" t="s">
        <v>10</v>
      </c>
      <c r="B33" s="321"/>
      <c r="C33" s="322"/>
    </row>
    <row r="34" spans="1:30" x14ac:dyDescent="0.25">
      <c r="A34" t="s">
        <v>11</v>
      </c>
      <c r="B34" s="321"/>
      <c r="C34" s="322"/>
    </row>
    <row r="35" spans="1:30" ht="16.5" customHeight="1" x14ac:dyDescent="0.25">
      <c r="A35" t="s">
        <v>109</v>
      </c>
      <c r="B35" s="4"/>
    </row>
    <row r="36" spans="1:30" ht="28.5" customHeight="1" x14ac:dyDescent="0.25">
      <c r="A36" s="2" t="s">
        <v>12</v>
      </c>
      <c r="B36" s="9"/>
      <c r="C36" t="s">
        <v>26</v>
      </c>
    </row>
    <row r="37" spans="1:30" x14ac:dyDescent="0.25">
      <c r="Q37" s="59"/>
      <c r="R37" s="59"/>
    </row>
    <row r="38" spans="1:30" x14ac:dyDescent="0.25">
      <c r="A38" s="5" t="s">
        <v>13</v>
      </c>
      <c r="C38" s="6" t="s">
        <v>4</v>
      </c>
    </row>
    <row r="39" spans="1:30" x14ac:dyDescent="0.25">
      <c r="A39" t="s">
        <v>16</v>
      </c>
      <c r="B39" s="4"/>
      <c r="C39" s="315" t="s">
        <v>155</v>
      </c>
    </row>
    <row r="40" spans="1:30" x14ac:dyDescent="0.25">
      <c r="A40" t="s">
        <v>20</v>
      </c>
      <c r="B40" s="10">
        <f>B7</f>
        <v>0</v>
      </c>
      <c r="C40" s="315"/>
    </row>
    <row r="41" spans="1:30" x14ac:dyDescent="0.25">
      <c r="A41" t="s">
        <v>19</v>
      </c>
      <c r="B41" s="10">
        <f>B8</f>
        <v>0</v>
      </c>
    </row>
    <row r="42" spans="1:30" x14ac:dyDescent="0.25">
      <c r="A42" t="s">
        <v>21</v>
      </c>
      <c r="B42" s="10">
        <f>B36</f>
        <v>0</v>
      </c>
    </row>
    <row r="44" spans="1:30" ht="15.75" thickBot="1" x14ac:dyDescent="0.3"/>
    <row r="45" spans="1:30" x14ac:dyDescent="0.25">
      <c r="G45" s="240" t="s">
        <v>205</v>
      </c>
      <c r="H45" s="241"/>
      <c r="I45" s="241"/>
      <c r="J45" s="11"/>
    </row>
    <row r="46" spans="1:30" ht="15.75" thickBot="1" x14ac:dyDescent="0.3">
      <c r="G46" s="12"/>
      <c r="H46" s="13"/>
      <c r="I46" s="13"/>
      <c r="J46" s="14"/>
      <c r="T46" s="28" t="s">
        <v>38</v>
      </c>
      <c r="U46" s="28" t="s">
        <v>39</v>
      </c>
      <c r="V46" s="29" t="s">
        <v>40</v>
      </c>
      <c r="W46" s="29" t="s">
        <v>41</v>
      </c>
      <c r="X46" s="29" t="s">
        <v>42</v>
      </c>
      <c r="Y46" s="29" t="s">
        <v>43</v>
      </c>
      <c r="Z46" s="29" t="s">
        <v>44</v>
      </c>
      <c r="AA46" s="29" t="s">
        <v>86</v>
      </c>
      <c r="AB46" s="29" t="s">
        <v>130</v>
      </c>
      <c r="AC46" s="29" t="s">
        <v>131</v>
      </c>
      <c r="AD46" s="250" t="s">
        <v>208</v>
      </c>
    </row>
    <row r="47" spans="1:30" ht="15.75" thickBot="1" x14ac:dyDescent="0.3">
      <c r="G47" s="19" t="s">
        <v>27</v>
      </c>
      <c r="H47" s="20" t="s">
        <v>29</v>
      </c>
      <c r="I47" s="20" t="s">
        <v>28</v>
      </c>
      <c r="J47" s="15" t="s">
        <v>4</v>
      </c>
      <c r="T47" s="89" t="s">
        <v>212</v>
      </c>
      <c r="U47" s="89"/>
      <c r="V47" s="90"/>
      <c r="W47" s="90"/>
      <c r="X47" s="90"/>
      <c r="Y47" s="90"/>
      <c r="Z47" s="90"/>
      <c r="AA47" s="90"/>
      <c r="AB47" s="90"/>
      <c r="AC47" s="91"/>
      <c r="AD47" s="249"/>
    </row>
    <row r="48" spans="1:30" x14ac:dyDescent="0.25">
      <c r="G48" s="16" t="s">
        <v>22</v>
      </c>
      <c r="H48" s="13">
        <v>1</v>
      </c>
      <c r="I48" s="103">
        <f>General!K36</f>
        <v>0</v>
      </c>
      <c r="J48" s="14"/>
      <c r="T48" s="92"/>
      <c r="U48" s="92"/>
      <c r="V48" s="92"/>
      <c r="W48" s="92"/>
      <c r="X48" s="92"/>
      <c r="Y48" s="92"/>
      <c r="Z48" s="92"/>
      <c r="AA48" s="92"/>
      <c r="AB48" s="92"/>
      <c r="AC48" s="93"/>
      <c r="AD48" s="249"/>
    </row>
    <row r="49" spans="4:30" x14ac:dyDescent="0.25">
      <c r="G49" s="12" t="s">
        <v>50</v>
      </c>
      <c r="H49" s="17" t="s">
        <v>144</v>
      </c>
      <c r="I49" s="101">
        <f>General!K37</f>
        <v>0</v>
      </c>
      <c r="J49" s="14" t="s">
        <v>49</v>
      </c>
      <c r="T49" s="94" t="s">
        <v>30</v>
      </c>
      <c r="U49" s="94" t="s">
        <v>31</v>
      </c>
      <c r="V49" s="94" t="s">
        <v>32</v>
      </c>
      <c r="W49" s="94" t="s">
        <v>33</v>
      </c>
      <c r="X49" s="94" t="s">
        <v>54</v>
      </c>
      <c r="Y49" s="94" t="s">
        <v>34</v>
      </c>
      <c r="Z49" s="94" t="s">
        <v>35</v>
      </c>
      <c r="AA49" s="94" t="s">
        <v>36</v>
      </c>
      <c r="AB49" s="94" t="s">
        <v>52</v>
      </c>
      <c r="AC49" s="95" t="s">
        <v>37</v>
      </c>
      <c r="AD49" s="249" t="s">
        <v>207</v>
      </c>
    </row>
    <row r="50" spans="4:30" x14ac:dyDescent="0.25">
      <c r="D50" s="13"/>
      <c r="E50" s="13"/>
      <c r="G50" s="12" t="s">
        <v>23</v>
      </c>
      <c r="H50" s="17" t="s">
        <v>144</v>
      </c>
      <c r="I50" s="101">
        <f>General!K38</f>
        <v>0</v>
      </c>
      <c r="J50" s="14"/>
      <c r="T50" s="92">
        <v>0</v>
      </c>
      <c r="U50" s="96">
        <f>I48</f>
        <v>0</v>
      </c>
      <c r="V50" s="96">
        <f t="shared" ref="V50:V66" si="8">$I$49</f>
        <v>0</v>
      </c>
      <c r="W50" s="96">
        <f t="shared" ref="W50:W66" si="9">$I$50</f>
        <v>0</v>
      </c>
      <c r="X50" s="96">
        <f t="shared" ref="X50:X66" si="10">$I$52</f>
        <v>0</v>
      </c>
      <c r="Y50" s="96">
        <f t="shared" ref="Y50:Y66" si="11">$I$53</f>
        <v>0</v>
      </c>
      <c r="Z50" s="96">
        <f t="shared" ref="Z50:Z66" si="12">$I$54</f>
        <v>0</v>
      </c>
      <c r="AA50" s="96">
        <f t="shared" ref="AA50:AA66" si="13">$I$55</f>
        <v>0</v>
      </c>
      <c r="AB50" s="92"/>
      <c r="AC50" s="93"/>
      <c r="AD50" s="249">
        <f>$I$51</f>
        <v>0</v>
      </c>
    </row>
    <row r="51" spans="4:30" ht="15" customHeight="1" x14ac:dyDescent="0.25">
      <c r="G51" s="23" t="s">
        <v>63</v>
      </c>
      <c r="H51" s="17" t="s">
        <v>144</v>
      </c>
      <c r="I51" s="45">
        <f>General!K39</f>
        <v>0</v>
      </c>
      <c r="J51" s="102" t="s">
        <v>48</v>
      </c>
      <c r="T51" s="94">
        <f>T50+3</f>
        <v>3</v>
      </c>
      <c r="U51" s="94"/>
      <c r="V51" s="96">
        <f t="shared" si="8"/>
        <v>0</v>
      </c>
      <c r="W51" s="96">
        <f t="shared" si="9"/>
        <v>0</v>
      </c>
      <c r="X51" s="96">
        <f t="shared" si="10"/>
        <v>0</v>
      </c>
      <c r="Y51" s="96">
        <f t="shared" si="11"/>
        <v>0</v>
      </c>
      <c r="Z51" s="96">
        <f t="shared" si="12"/>
        <v>0</v>
      </c>
      <c r="AA51" s="96">
        <f t="shared" si="13"/>
        <v>0</v>
      </c>
      <c r="AB51" s="94"/>
      <c r="AC51" s="95"/>
      <c r="AD51" s="249">
        <f t="shared" ref="AD51:AD66" si="14">$I$51</f>
        <v>0</v>
      </c>
    </row>
    <row r="52" spans="4:30" x14ac:dyDescent="0.25">
      <c r="G52" s="32" t="s">
        <v>54</v>
      </c>
      <c r="H52" s="17" t="s">
        <v>144</v>
      </c>
      <c r="I52" s="45">
        <f>General!K40</f>
        <v>0</v>
      </c>
      <c r="J52" s="106"/>
      <c r="T52" s="92">
        <f>T51+2</f>
        <v>5</v>
      </c>
      <c r="U52" s="92"/>
      <c r="V52" s="96">
        <f t="shared" si="8"/>
        <v>0</v>
      </c>
      <c r="W52" s="96">
        <f t="shared" si="9"/>
        <v>0</v>
      </c>
      <c r="X52" s="96">
        <f t="shared" si="10"/>
        <v>0</v>
      </c>
      <c r="Y52" s="96">
        <f t="shared" si="11"/>
        <v>0</v>
      </c>
      <c r="Z52" s="96">
        <f t="shared" si="12"/>
        <v>0</v>
      </c>
      <c r="AA52" s="96">
        <f t="shared" si="13"/>
        <v>0</v>
      </c>
      <c r="AB52" s="92"/>
      <c r="AC52" s="93"/>
      <c r="AD52" s="249">
        <f t="shared" si="14"/>
        <v>0</v>
      </c>
    </row>
    <row r="53" spans="4:30" x14ac:dyDescent="0.25">
      <c r="G53" s="18"/>
      <c r="H53" s="17" t="s">
        <v>144</v>
      </c>
      <c r="I53" s="7"/>
      <c r="J53" s="168"/>
      <c r="T53" s="94">
        <f t="shared" ref="T53:T67" si="15">T52+2</f>
        <v>7</v>
      </c>
      <c r="U53" s="94"/>
      <c r="V53" s="96">
        <f t="shared" si="8"/>
        <v>0</v>
      </c>
      <c r="W53" s="96">
        <f t="shared" si="9"/>
        <v>0</v>
      </c>
      <c r="X53" s="96">
        <f t="shared" si="10"/>
        <v>0</v>
      </c>
      <c r="Y53" s="96">
        <f t="shared" si="11"/>
        <v>0</v>
      </c>
      <c r="Z53" s="96">
        <f t="shared" si="12"/>
        <v>0</v>
      </c>
      <c r="AA53" s="96">
        <f t="shared" si="13"/>
        <v>0</v>
      </c>
      <c r="AB53" s="94"/>
      <c r="AC53" s="95"/>
      <c r="AD53" s="249">
        <f t="shared" si="14"/>
        <v>0</v>
      </c>
    </row>
    <row r="54" spans="4:30" ht="14.25" customHeight="1" x14ac:dyDescent="0.25">
      <c r="F54" s="13"/>
      <c r="G54" s="18"/>
      <c r="H54" s="17" t="s">
        <v>144</v>
      </c>
      <c r="I54" s="7"/>
      <c r="J54" s="14"/>
      <c r="T54" s="92">
        <f>T53+2</f>
        <v>9</v>
      </c>
      <c r="U54" s="92"/>
      <c r="V54" s="96">
        <f t="shared" si="8"/>
        <v>0</v>
      </c>
      <c r="W54" s="96">
        <f t="shared" si="9"/>
        <v>0</v>
      </c>
      <c r="X54" s="96">
        <f t="shared" si="10"/>
        <v>0</v>
      </c>
      <c r="Y54" s="96">
        <f t="shared" si="11"/>
        <v>0</v>
      </c>
      <c r="Z54" s="96">
        <f t="shared" si="12"/>
        <v>0</v>
      </c>
      <c r="AA54" s="96">
        <f t="shared" si="13"/>
        <v>0</v>
      </c>
      <c r="AB54" s="92"/>
      <c r="AC54" s="93"/>
      <c r="AD54" s="249">
        <f t="shared" si="14"/>
        <v>0</v>
      </c>
    </row>
    <row r="55" spans="4:30" ht="14.25" customHeight="1" x14ac:dyDescent="0.25">
      <c r="F55" s="13"/>
      <c r="G55" s="18"/>
      <c r="H55" s="17" t="s">
        <v>144</v>
      </c>
      <c r="I55" s="7"/>
      <c r="J55" s="168"/>
      <c r="T55" s="94">
        <f>T54+2</f>
        <v>11</v>
      </c>
      <c r="U55" s="94"/>
      <c r="V55" s="96">
        <f t="shared" si="8"/>
        <v>0</v>
      </c>
      <c r="W55" s="96">
        <f t="shared" si="9"/>
        <v>0</v>
      </c>
      <c r="X55" s="96">
        <f t="shared" si="10"/>
        <v>0</v>
      </c>
      <c r="Y55" s="96">
        <f t="shared" si="11"/>
        <v>0</v>
      </c>
      <c r="Z55" s="96">
        <f t="shared" si="12"/>
        <v>0</v>
      </c>
      <c r="AA55" s="96">
        <f t="shared" si="13"/>
        <v>0</v>
      </c>
      <c r="AB55" s="94"/>
      <c r="AC55" s="95"/>
      <c r="AD55" s="249">
        <f t="shared" si="14"/>
        <v>0</v>
      </c>
    </row>
    <row r="56" spans="4:30" ht="15.75" customHeight="1" x14ac:dyDescent="0.25">
      <c r="G56" s="33"/>
      <c r="H56" s="8"/>
      <c r="I56" s="7"/>
      <c r="J56" s="314" t="s">
        <v>92</v>
      </c>
      <c r="K56" s="13"/>
      <c r="T56" s="92">
        <f t="shared" si="15"/>
        <v>13</v>
      </c>
      <c r="U56" s="92"/>
      <c r="V56" s="96">
        <f t="shared" si="8"/>
        <v>0</v>
      </c>
      <c r="W56" s="96">
        <f t="shared" si="9"/>
        <v>0</v>
      </c>
      <c r="X56" s="96">
        <f t="shared" si="10"/>
        <v>0</v>
      </c>
      <c r="Y56" s="96">
        <f t="shared" si="11"/>
        <v>0</v>
      </c>
      <c r="Z56" s="96">
        <f t="shared" si="12"/>
        <v>0</v>
      </c>
      <c r="AA56" s="96">
        <f t="shared" si="13"/>
        <v>0</v>
      </c>
      <c r="AB56" s="92"/>
      <c r="AC56" s="93"/>
      <c r="AD56" s="249">
        <f t="shared" si="14"/>
        <v>0</v>
      </c>
    </row>
    <row r="57" spans="4:30" ht="16.5" customHeight="1" x14ac:dyDescent="0.25">
      <c r="G57" s="18"/>
      <c r="H57" s="8"/>
      <c r="I57" s="7"/>
      <c r="J57" s="314"/>
      <c r="K57" s="13"/>
      <c r="T57" s="94">
        <f t="shared" si="15"/>
        <v>15</v>
      </c>
      <c r="U57" s="94"/>
      <c r="V57" s="96">
        <f t="shared" si="8"/>
        <v>0</v>
      </c>
      <c r="W57" s="96">
        <f t="shared" si="9"/>
        <v>0</v>
      </c>
      <c r="X57" s="96">
        <f t="shared" si="10"/>
        <v>0</v>
      </c>
      <c r="Y57" s="96">
        <f t="shared" si="11"/>
        <v>0</v>
      </c>
      <c r="Z57" s="96">
        <f t="shared" si="12"/>
        <v>0</v>
      </c>
      <c r="AA57" s="96">
        <f t="shared" si="13"/>
        <v>0</v>
      </c>
      <c r="AB57" s="94"/>
      <c r="AC57" s="95"/>
      <c r="AD57" s="249">
        <f t="shared" si="14"/>
        <v>0</v>
      </c>
    </row>
    <row r="58" spans="4:30" x14ac:dyDescent="0.25">
      <c r="G58" s="18"/>
      <c r="H58" s="8"/>
      <c r="I58" s="7"/>
      <c r="J58" s="314"/>
      <c r="T58" s="92">
        <f t="shared" si="15"/>
        <v>17</v>
      </c>
      <c r="U58" s="92"/>
      <c r="V58" s="96">
        <f t="shared" si="8"/>
        <v>0</v>
      </c>
      <c r="W58" s="96">
        <f t="shared" si="9"/>
        <v>0</v>
      </c>
      <c r="X58" s="96">
        <f t="shared" si="10"/>
        <v>0</v>
      </c>
      <c r="Y58" s="96">
        <f t="shared" si="11"/>
        <v>0</v>
      </c>
      <c r="Z58" s="96">
        <f t="shared" si="12"/>
        <v>0</v>
      </c>
      <c r="AA58" s="96">
        <f t="shared" si="13"/>
        <v>0</v>
      </c>
      <c r="AB58" s="92"/>
      <c r="AC58" s="93"/>
      <c r="AD58" s="249">
        <f t="shared" si="14"/>
        <v>0</v>
      </c>
    </row>
    <row r="59" spans="4:30" ht="15" customHeight="1" x14ac:dyDescent="0.25">
      <c r="G59" s="18"/>
      <c r="H59" s="8"/>
      <c r="I59" s="7"/>
      <c r="J59" s="314"/>
      <c r="T59" s="94">
        <f t="shared" si="15"/>
        <v>19</v>
      </c>
      <c r="U59" s="94"/>
      <c r="V59" s="96">
        <f t="shared" si="8"/>
        <v>0</v>
      </c>
      <c r="W59" s="96">
        <f t="shared" si="9"/>
        <v>0</v>
      </c>
      <c r="X59" s="96">
        <f t="shared" si="10"/>
        <v>0</v>
      </c>
      <c r="Y59" s="96">
        <f t="shared" si="11"/>
        <v>0</v>
      </c>
      <c r="Z59" s="96">
        <f t="shared" si="12"/>
        <v>0</v>
      </c>
      <c r="AA59" s="96">
        <f t="shared" si="13"/>
        <v>0</v>
      </c>
      <c r="AB59" s="94"/>
      <c r="AC59" s="95"/>
      <c r="AD59" s="249">
        <f t="shared" si="14"/>
        <v>0</v>
      </c>
    </row>
    <row r="60" spans="4:30" ht="15" customHeight="1" x14ac:dyDescent="0.25">
      <c r="G60" s="18"/>
      <c r="H60" s="8"/>
      <c r="I60" s="7"/>
      <c r="J60" s="239"/>
      <c r="T60" s="92">
        <f t="shared" si="15"/>
        <v>21</v>
      </c>
      <c r="U60" s="92"/>
      <c r="V60" s="96">
        <f t="shared" si="8"/>
        <v>0</v>
      </c>
      <c r="W60" s="96">
        <f t="shared" si="9"/>
        <v>0</v>
      </c>
      <c r="X60" s="96">
        <f t="shared" si="10"/>
        <v>0</v>
      </c>
      <c r="Y60" s="96">
        <f t="shared" si="11"/>
        <v>0</v>
      </c>
      <c r="Z60" s="96">
        <f t="shared" si="12"/>
        <v>0</v>
      </c>
      <c r="AA60" s="96">
        <f t="shared" si="13"/>
        <v>0</v>
      </c>
      <c r="AB60" s="92"/>
      <c r="AC60" s="93"/>
      <c r="AD60" s="249">
        <f t="shared" si="14"/>
        <v>0</v>
      </c>
    </row>
    <row r="61" spans="4:30" ht="15" customHeight="1" x14ac:dyDescent="0.25">
      <c r="G61" s="18"/>
      <c r="H61" s="8"/>
      <c r="I61" s="7"/>
      <c r="J61" s="239"/>
      <c r="T61" s="94">
        <f t="shared" si="15"/>
        <v>23</v>
      </c>
      <c r="U61" s="94"/>
      <c r="V61" s="96">
        <f t="shared" si="8"/>
        <v>0</v>
      </c>
      <c r="W61" s="96">
        <f t="shared" si="9"/>
        <v>0</v>
      </c>
      <c r="X61" s="96">
        <f t="shared" si="10"/>
        <v>0</v>
      </c>
      <c r="Y61" s="96">
        <f t="shared" si="11"/>
        <v>0</v>
      </c>
      <c r="Z61" s="96">
        <f t="shared" si="12"/>
        <v>0</v>
      </c>
      <c r="AA61" s="96">
        <f t="shared" si="13"/>
        <v>0</v>
      </c>
      <c r="AB61" s="94"/>
      <c r="AC61" s="95"/>
      <c r="AD61" s="249">
        <f t="shared" si="14"/>
        <v>0</v>
      </c>
    </row>
    <row r="62" spans="4:30" x14ac:dyDescent="0.25">
      <c r="G62" s="18"/>
      <c r="H62" s="8"/>
      <c r="I62" s="7"/>
      <c r="J62" s="239"/>
      <c r="T62" s="92">
        <f t="shared" si="15"/>
        <v>25</v>
      </c>
      <c r="U62" s="92"/>
      <c r="V62" s="96">
        <f t="shared" si="8"/>
        <v>0</v>
      </c>
      <c r="W62" s="96">
        <f t="shared" si="9"/>
        <v>0</v>
      </c>
      <c r="X62" s="96">
        <f t="shared" si="10"/>
        <v>0</v>
      </c>
      <c r="Y62" s="96">
        <f t="shared" si="11"/>
        <v>0</v>
      </c>
      <c r="Z62" s="96">
        <f t="shared" si="12"/>
        <v>0</v>
      </c>
      <c r="AA62" s="96">
        <f t="shared" si="13"/>
        <v>0</v>
      </c>
      <c r="AB62" s="92"/>
      <c r="AC62" s="93"/>
      <c r="AD62" s="249">
        <f t="shared" si="14"/>
        <v>0</v>
      </c>
    </row>
    <row r="63" spans="4:30" x14ac:dyDescent="0.25">
      <c r="G63" s="12" t="s">
        <v>51</v>
      </c>
      <c r="H63" s="59">
        <f>General!J41</f>
        <v>0</v>
      </c>
      <c r="I63" s="101">
        <f>General!K41</f>
        <v>0</v>
      </c>
      <c r="J63" s="14" t="s">
        <v>24</v>
      </c>
      <c r="T63" s="94">
        <f t="shared" si="15"/>
        <v>27</v>
      </c>
      <c r="U63" s="94"/>
      <c r="V63" s="96">
        <f t="shared" si="8"/>
        <v>0</v>
      </c>
      <c r="W63" s="96">
        <f t="shared" si="9"/>
        <v>0</v>
      </c>
      <c r="X63" s="96">
        <f t="shared" si="10"/>
        <v>0</v>
      </c>
      <c r="Y63" s="96">
        <f t="shared" si="11"/>
        <v>0</v>
      </c>
      <c r="Z63" s="96">
        <f t="shared" si="12"/>
        <v>0</v>
      </c>
      <c r="AA63" s="96">
        <f t="shared" si="13"/>
        <v>0</v>
      </c>
      <c r="AB63" s="94"/>
      <c r="AC63" s="95"/>
      <c r="AD63" s="249">
        <f t="shared" si="14"/>
        <v>0</v>
      </c>
    </row>
    <row r="64" spans="4:30" ht="15.75" thickBot="1" x14ac:dyDescent="0.3">
      <c r="G64" s="19" t="s">
        <v>25</v>
      </c>
      <c r="H64" s="116">
        <f>General!J42</f>
        <v>0</v>
      </c>
      <c r="I64" s="246">
        <f>General!K42</f>
        <v>0</v>
      </c>
      <c r="J64" s="21" t="s">
        <v>24</v>
      </c>
      <c r="T64" s="92">
        <f t="shared" si="15"/>
        <v>29</v>
      </c>
      <c r="U64" s="92"/>
      <c r="V64" s="96">
        <f t="shared" si="8"/>
        <v>0</v>
      </c>
      <c r="W64" s="96">
        <f t="shared" si="9"/>
        <v>0</v>
      </c>
      <c r="X64" s="96">
        <f t="shared" si="10"/>
        <v>0</v>
      </c>
      <c r="Y64" s="96">
        <f t="shared" si="11"/>
        <v>0</v>
      </c>
      <c r="Z64" s="96">
        <f t="shared" si="12"/>
        <v>0</v>
      </c>
      <c r="AA64" s="96">
        <f t="shared" si="13"/>
        <v>0</v>
      </c>
      <c r="AB64" s="92"/>
      <c r="AC64" s="93"/>
      <c r="AD64" s="249">
        <f t="shared" si="14"/>
        <v>0</v>
      </c>
    </row>
    <row r="65" spans="6:30" x14ac:dyDescent="0.25">
      <c r="T65" s="94">
        <f t="shared" si="15"/>
        <v>31</v>
      </c>
      <c r="U65" s="94"/>
      <c r="V65" s="96">
        <f t="shared" si="8"/>
        <v>0</v>
      </c>
      <c r="W65" s="96">
        <f t="shared" si="9"/>
        <v>0</v>
      </c>
      <c r="X65" s="96">
        <f t="shared" si="10"/>
        <v>0</v>
      </c>
      <c r="Y65" s="96">
        <f t="shared" si="11"/>
        <v>0</v>
      </c>
      <c r="Z65" s="96">
        <f t="shared" si="12"/>
        <v>0</v>
      </c>
      <c r="AA65" s="96">
        <f t="shared" si="13"/>
        <v>0</v>
      </c>
      <c r="AB65" s="94"/>
      <c r="AC65" s="95"/>
      <c r="AD65" s="249">
        <f t="shared" si="14"/>
        <v>0</v>
      </c>
    </row>
    <row r="66" spans="6:30" x14ac:dyDescent="0.25">
      <c r="T66" s="92">
        <f t="shared" si="15"/>
        <v>33</v>
      </c>
      <c r="U66" s="92"/>
      <c r="V66" s="96">
        <f t="shared" si="8"/>
        <v>0</v>
      </c>
      <c r="W66" s="96">
        <f t="shared" si="9"/>
        <v>0</v>
      </c>
      <c r="X66" s="96">
        <f t="shared" si="10"/>
        <v>0</v>
      </c>
      <c r="Y66" s="96">
        <f t="shared" si="11"/>
        <v>0</v>
      </c>
      <c r="Z66" s="96">
        <f t="shared" si="12"/>
        <v>0</v>
      </c>
      <c r="AA66" s="96">
        <f t="shared" si="13"/>
        <v>0</v>
      </c>
      <c r="AB66" s="92"/>
      <c r="AC66" s="93"/>
      <c r="AD66" s="249">
        <f t="shared" si="14"/>
        <v>0</v>
      </c>
    </row>
    <row r="67" spans="6:30" x14ac:dyDescent="0.25">
      <c r="F67" s="13"/>
      <c r="G67" s="59"/>
      <c r="H67" s="59"/>
      <c r="I67" s="59"/>
      <c r="J67" s="59"/>
      <c r="K67" s="59"/>
      <c r="T67" s="94">
        <f t="shared" si="15"/>
        <v>35</v>
      </c>
      <c r="U67" s="94"/>
      <c r="V67" s="96"/>
      <c r="W67" s="96"/>
      <c r="X67" s="96"/>
      <c r="Y67" s="96"/>
      <c r="Z67" s="96"/>
      <c r="AA67" s="96"/>
      <c r="AB67" s="97">
        <f>-I63</f>
        <v>0</v>
      </c>
      <c r="AC67" s="98">
        <f>-I64</f>
        <v>0</v>
      </c>
      <c r="AD67" s="249"/>
    </row>
    <row r="68" spans="6:30" ht="15" customHeight="1" x14ac:dyDescent="0.25">
      <c r="F68" s="13"/>
      <c r="G68" s="59"/>
      <c r="H68" s="59"/>
      <c r="I68" s="59"/>
      <c r="J68" s="59"/>
      <c r="K68" s="59"/>
      <c r="T68" s="92"/>
      <c r="U68" s="92"/>
      <c r="V68" s="92"/>
      <c r="W68" s="92"/>
      <c r="X68" s="92"/>
      <c r="Y68" s="92"/>
      <c r="Z68" s="92"/>
      <c r="AA68" s="92"/>
      <c r="AB68" s="92"/>
      <c r="AC68" s="93"/>
      <c r="AD68" s="249"/>
    </row>
    <row r="69" spans="6:30" x14ac:dyDescent="0.25">
      <c r="F69" s="13"/>
      <c r="G69" s="248"/>
      <c r="H69" s="248"/>
      <c r="I69" s="247"/>
      <c r="J69" s="59"/>
      <c r="K69" s="59"/>
      <c r="T69" s="25"/>
      <c r="U69" s="25"/>
      <c r="V69" s="26"/>
      <c r="W69" s="26"/>
      <c r="X69" s="26"/>
      <c r="Y69" s="25"/>
      <c r="Z69" s="25"/>
    </row>
    <row r="70" spans="6:30" x14ac:dyDescent="0.25">
      <c r="F70" s="13"/>
      <c r="G70" s="59"/>
      <c r="H70" s="59"/>
      <c r="I70" s="59"/>
      <c r="J70" s="59"/>
      <c r="K70" s="59"/>
      <c r="T70" s="25"/>
      <c r="U70" s="25"/>
      <c r="V70" s="26"/>
      <c r="W70" s="26"/>
      <c r="X70" s="26"/>
      <c r="Y70" s="26"/>
      <c r="Z70" s="26"/>
    </row>
    <row r="71" spans="6:30" x14ac:dyDescent="0.25">
      <c r="F71" s="13"/>
      <c r="G71" s="59"/>
      <c r="H71" s="59"/>
      <c r="I71" s="59"/>
      <c r="J71" s="59"/>
      <c r="K71" s="59"/>
    </row>
    <row r="72" spans="6:30" x14ac:dyDescent="0.25">
      <c r="F72" s="13"/>
      <c r="G72" s="13"/>
      <c r="H72" s="13"/>
      <c r="I72" s="13"/>
      <c r="J72" s="13"/>
      <c r="K72" s="13"/>
    </row>
    <row r="73" spans="6:30" x14ac:dyDescent="0.25">
      <c r="F73" s="13"/>
      <c r="G73" s="13"/>
      <c r="H73" s="13"/>
      <c r="I73" s="13"/>
      <c r="J73" s="13"/>
      <c r="K73" s="13"/>
    </row>
    <row r="74" spans="6:30" x14ac:dyDescent="0.25">
      <c r="F74" s="13"/>
      <c r="G74" s="13"/>
      <c r="H74" s="13"/>
      <c r="I74" s="13"/>
      <c r="J74" s="13"/>
      <c r="K74" s="13"/>
    </row>
  </sheetData>
  <mergeCells count="21">
    <mergeCell ref="A12:A14"/>
    <mergeCell ref="B12:B14"/>
    <mergeCell ref="C12:C14"/>
    <mergeCell ref="A19:C20"/>
    <mergeCell ref="A21:C30"/>
    <mergeCell ref="I1:J1"/>
    <mergeCell ref="A32:B32"/>
    <mergeCell ref="A1:E2"/>
    <mergeCell ref="J56:J59"/>
    <mergeCell ref="J14:J16"/>
    <mergeCell ref="C39:C40"/>
    <mergeCell ref="C15:C16"/>
    <mergeCell ref="G3:I3"/>
    <mergeCell ref="B15:B16"/>
    <mergeCell ref="A15:A16"/>
    <mergeCell ref="A3:B3"/>
    <mergeCell ref="A18:B18"/>
    <mergeCell ref="B33:C33"/>
    <mergeCell ref="B34:C34"/>
    <mergeCell ref="A9:A10"/>
    <mergeCell ref="B9:B10"/>
  </mergeCells>
  <pageMargins left="0.7" right="0.7" top="0.75" bottom="0.75" header="0.3" footer="0.3"/>
  <pageSetup orientation="portrait" r:id="rId1"/>
  <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2"/>
  <sheetViews>
    <sheetView workbookViewId="0">
      <selection activeCell="C101" sqref="C101"/>
    </sheetView>
  </sheetViews>
  <sheetFormatPr defaultRowHeight="15" x14ac:dyDescent="0.25"/>
  <cols>
    <col min="1" max="1" width="18.5703125" customWidth="1"/>
    <col min="2" max="2" width="10.85546875" style="39" customWidth="1"/>
    <col min="3" max="3" width="10.42578125" customWidth="1"/>
    <col min="4" max="4" width="14.140625" customWidth="1"/>
    <col min="5" max="5" width="12.28515625" customWidth="1"/>
    <col min="6" max="6" width="11.42578125" customWidth="1"/>
    <col min="7" max="7" width="12.42578125" customWidth="1"/>
  </cols>
  <sheetData>
    <row r="2" spans="1:7" ht="15.75" thickBot="1" x14ac:dyDescent="0.3"/>
    <row r="3" spans="1:7" x14ac:dyDescent="0.25">
      <c r="A3" s="343" t="s">
        <v>222</v>
      </c>
      <c r="B3" s="344"/>
      <c r="C3" s="344"/>
      <c r="D3" s="344"/>
      <c r="E3" s="30"/>
      <c r="F3" s="30"/>
      <c r="G3" s="36"/>
    </row>
    <row r="4" spans="1:7" ht="21" customHeight="1" x14ac:dyDescent="0.25">
      <c r="A4" s="345" t="s">
        <v>27</v>
      </c>
      <c r="B4" s="346" t="s">
        <v>61</v>
      </c>
      <c r="C4" s="342" t="s">
        <v>4</v>
      </c>
      <c r="D4" s="340" t="s">
        <v>160</v>
      </c>
      <c r="E4" s="340" t="s">
        <v>145</v>
      </c>
      <c r="F4" s="342" t="s">
        <v>4</v>
      </c>
      <c r="G4" s="351" t="s">
        <v>62</v>
      </c>
    </row>
    <row r="5" spans="1:7" ht="21" customHeight="1" x14ac:dyDescent="0.25">
      <c r="A5" s="345"/>
      <c r="B5" s="346"/>
      <c r="C5" s="342"/>
      <c r="D5" s="340"/>
      <c r="E5" s="340"/>
      <c r="F5" s="342"/>
      <c r="G5" s="351"/>
    </row>
    <row r="6" spans="1:7" ht="15" customHeight="1" x14ac:dyDescent="0.25">
      <c r="A6" s="12" t="s">
        <v>57</v>
      </c>
      <c r="B6" s="41">
        <f>'PID &amp; Cash Flow'!I6</f>
        <v>0</v>
      </c>
      <c r="C6" s="13"/>
      <c r="D6" s="59">
        <v>1</v>
      </c>
      <c r="E6" s="4"/>
      <c r="F6" s="338" t="s">
        <v>163</v>
      </c>
      <c r="G6" s="42">
        <f t="shared" ref="G6:G14" si="0">B6*E6</f>
        <v>0</v>
      </c>
    </row>
    <row r="7" spans="1:7" x14ac:dyDescent="0.25">
      <c r="A7" s="12" t="s">
        <v>58</v>
      </c>
      <c r="B7" s="41">
        <f>-'PID &amp; Cash Flow'!I19</f>
        <v>0</v>
      </c>
      <c r="C7" s="13"/>
      <c r="D7" s="59">
        <f>'PID &amp; Cash Flow'!$B$39</f>
        <v>0</v>
      </c>
      <c r="E7" s="4"/>
      <c r="F7" s="338"/>
      <c r="G7" s="42">
        <f t="shared" si="0"/>
        <v>0</v>
      </c>
    </row>
    <row r="8" spans="1:7" x14ac:dyDescent="0.25">
      <c r="A8" s="12" t="s">
        <v>59</v>
      </c>
      <c r="B8" s="41">
        <f>-'PID &amp; Cash Flow'!I20</f>
        <v>0</v>
      </c>
      <c r="C8" s="13"/>
      <c r="D8" s="59">
        <f>'PID &amp; Cash Flow'!$B$39</f>
        <v>0</v>
      </c>
      <c r="E8" s="4"/>
      <c r="F8" s="338"/>
      <c r="G8" s="42">
        <f t="shared" si="0"/>
        <v>0</v>
      </c>
    </row>
    <row r="9" spans="1:7" ht="15" customHeight="1" x14ac:dyDescent="0.25">
      <c r="A9" s="18"/>
      <c r="B9" s="24"/>
      <c r="C9" s="339" t="s">
        <v>60</v>
      </c>
      <c r="D9" s="8"/>
      <c r="E9" s="4"/>
      <c r="F9" s="338"/>
      <c r="G9" s="42">
        <f t="shared" si="0"/>
        <v>0</v>
      </c>
    </row>
    <row r="10" spans="1:7" ht="15" customHeight="1" x14ac:dyDescent="0.25">
      <c r="A10" s="18"/>
      <c r="B10" s="24"/>
      <c r="C10" s="339"/>
      <c r="D10" s="8"/>
      <c r="E10" s="4"/>
      <c r="F10" s="338"/>
      <c r="G10" s="42">
        <f t="shared" si="0"/>
        <v>0</v>
      </c>
    </row>
    <row r="11" spans="1:7" ht="15" customHeight="1" x14ac:dyDescent="0.25">
      <c r="A11" s="18"/>
      <c r="B11" s="24"/>
      <c r="C11" s="339"/>
      <c r="D11" s="8"/>
      <c r="E11" s="4"/>
      <c r="F11" s="338"/>
      <c r="G11" s="42">
        <f t="shared" si="0"/>
        <v>0</v>
      </c>
    </row>
    <row r="12" spans="1:7" ht="15" customHeight="1" x14ac:dyDescent="0.25">
      <c r="A12" s="18"/>
      <c r="B12" s="24"/>
      <c r="C12" s="339"/>
      <c r="D12" s="8"/>
      <c r="E12" s="4"/>
      <c r="F12" s="338"/>
      <c r="G12" s="42">
        <f t="shared" si="0"/>
        <v>0</v>
      </c>
    </row>
    <row r="13" spans="1:7" ht="15" customHeight="1" x14ac:dyDescent="0.25">
      <c r="A13" s="18"/>
      <c r="B13" s="24"/>
      <c r="C13" s="339"/>
      <c r="D13" s="8"/>
      <c r="E13" s="4"/>
      <c r="F13" s="338"/>
      <c r="G13" s="42">
        <f t="shared" si="0"/>
        <v>0</v>
      </c>
    </row>
    <row r="14" spans="1:7" x14ac:dyDescent="0.25">
      <c r="A14" s="18"/>
      <c r="B14" s="24"/>
      <c r="C14" s="339"/>
      <c r="D14" s="8"/>
      <c r="E14" s="4"/>
      <c r="F14" s="338"/>
      <c r="G14" s="42">
        <f t="shared" si="0"/>
        <v>0</v>
      </c>
    </row>
    <row r="15" spans="1:7" x14ac:dyDescent="0.25">
      <c r="A15" s="12"/>
      <c r="B15" s="41"/>
      <c r="C15" s="13"/>
      <c r="D15" s="13"/>
      <c r="E15" s="44"/>
      <c r="F15" s="338"/>
      <c r="G15" s="14"/>
    </row>
    <row r="16" spans="1:7" x14ac:dyDescent="0.25">
      <c r="A16" s="12"/>
      <c r="B16" s="41"/>
      <c r="C16" s="13"/>
      <c r="D16" s="13"/>
      <c r="E16" s="44"/>
      <c r="F16" s="338"/>
      <c r="G16" s="14"/>
    </row>
    <row r="17" spans="1:7" x14ac:dyDescent="0.25">
      <c r="A17" s="12"/>
      <c r="B17" s="41"/>
      <c r="C17" s="13"/>
      <c r="D17" s="13"/>
      <c r="E17" s="44"/>
      <c r="F17" s="44"/>
      <c r="G17" s="14"/>
    </row>
    <row r="18" spans="1:7" ht="15" customHeight="1" x14ac:dyDescent="0.25">
      <c r="A18" s="32"/>
      <c r="B18" s="49"/>
      <c r="C18" s="35"/>
      <c r="D18" s="358" t="s">
        <v>114</v>
      </c>
      <c r="E18" s="358"/>
      <c r="F18" s="358"/>
      <c r="G18" s="51">
        <f>SUM(G6:G14)</f>
        <v>0</v>
      </c>
    </row>
    <row r="19" spans="1:7" x14ac:dyDescent="0.25">
      <c r="A19" s="12"/>
      <c r="B19" s="41"/>
      <c r="C19" s="13"/>
      <c r="D19" s="13"/>
      <c r="E19" s="44"/>
      <c r="F19" s="44"/>
      <c r="G19" s="14"/>
    </row>
    <row r="20" spans="1:7" x14ac:dyDescent="0.25">
      <c r="A20" s="52" t="s">
        <v>220</v>
      </c>
      <c r="B20" s="50"/>
      <c r="C20" s="50"/>
      <c r="D20" s="48"/>
      <c r="E20" s="48"/>
      <c r="F20" s="48"/>
      <c r="G20" s="53"/>
    </row>
    <row r="21" spans="1:7" ht="25.5" customHeight="1" x14ac:dyDescent="0.25">
      <c r="A21" s="345" t="s">
        <v>27</v>
      </c>
      <c r="B21" s="346" t="s">
        <v>61</v>
      </c>
      <c r="C21" s="342" t="s">
        <v>4</v>
      </c>
      <c r="D21" s="347" t="s">
        <v>161</v>
      </c>
      <c r="E21" s="340" t="s">
        <v>146</v>
      </c>
      <c r="F21" s="342" t="s">
        <v>4</v>
      </c>
      <c r="G21" s="351" t="s">
        <v>62</v>
      </c>
    </row>
    <row r="22" spans="1:7" ht="21.75" customHeight="1" x14ac:dyDescent="0.25">
      <c r="A22" s="345"/>
      <c r="B22" s="346"/>
      <c r="C22" s="342"/>
      <c r="D22" s="347"/>
      <c r="E22" s="341"/>
      <c r="F22" s="342"/>
      <c r="G22" s="351"/>
    </row>
    <row r="23" spans="1:7" ht="15" customHeight="1" x14ac:dyDescent="0.25">
      <c r="A23" s="12" t="s">
        <v>50</v>
      </c>
      <c r="B23" s="41">
        <f>'PID &amp; Cash Flow'!I7</f>
        <v>0</v>
      </c>
      <c r="C23" s="13"/>
      <c r="D23" s="59">
        <f>'PID &amp; Cash Flow'!$B$39</f>
        <v>0</v>
      </c>
      <c r="E23" s="178"/>
      <c r="F23" s="338" t="s">
        <v>162</v>
      </c>
      <c r="G23" s="42">
        <f t="shared" ref="G23:G31" si="1">B23*E23</f>
        <v>0</v>
      </c>
    </row>
    <row r="24" spans="1:7" x14ac:dyDescent="0.25">
      <c r="A24" s="12" t="s">
        <v>23</v>
      </c>
      <c r="B24" s="41">
        <f>'PID &amp; Cash Flow'!I8</f>
        <v>0</v>
      </c>
      <c r="C24" s="13"/>
      <c r="D24" s="59">
        <f>'PID &amp; Cash Flow'!$B$39</f>
        <v>0</v>
      </c>
      <c r="E24" s="4"/>
      <c r="F24" s="338"/>
      <c r="G24" s="42">
        <f t="shared" si="1"/>
        <v>0</v>
      </c>
    </row>
    <row r="25" spans="1:7" x14ac:dyDescent="0.25">
      <c r="A25" s="23" t="s">
        <v>63</v>
      </c>
      <c r="B25" s="45">
        <f>'PID &amp; Cash Flow'!I9</f>
        <v>0</v>
      </c>
      <c r="C25" s="13"/>
      <c r="D25" s="59">
        <f>'PID &amp; Cash Flow'!$B$39</f>
        <v>0</v>
      </c>
      <c r="E25" s="4"/>
      <c r="F25" s="338"/>
      <c r="G25" s="42">
        <f t="shared" si="1"/>
        <v>0</v>
      </c>
    </row>
    <row r="26" spans="1:7" ht="15" customHeight="1" x14ac:dyDescent="0.25">
      <c r="A26" s="23" t="s">
        <v>64</v>
      </c>
      <c r="B26" s="45">
        <f>'PID &amp; Cash Flow'!I10</f>
        <v>0</v>
      </c>
      <c r="C26" s="44"/>
      <c r="D26" s="59">
        <f>'PID &amp; Cash Flow'!$B$39</f>
        <v>0</v>
      </c>
      <c r="E26" s="4"/>
      <c r="F26" s="338"/>
      <c r="G26" s="42">
        <f t="shared" si="1"/>
        <v>0</v>
      </c>
    </row>
    <row r="27" spans="1:7" ht="15" customHeight="1" x14ac:dyDescent="0.25">
      <c r="A27" s="18"/>
      <c r="B27" s="24"/>
      <c r="C27" s="359" t="s">
        <v>60</v>
      </c>
      <c r="D27" s="8"/>
      <c r="E27" s="4"/>
      <c r="F27" s="338"/>
      <c r="G27" s="42">
        <f t="shared" si="1"/>
        <v>0</v>
      </c>
    </row>
    <row r="28" spans="1:7" ht="15" customHeight="1" x14ac:dyDescent="0.25">
      <c r="A28" s="18"/>
      <c r="B28" s="24"/>
      <c r="C28" s="359"/>
      <c r="D28" s="8"/>
      <c r="E28" s="4"/>
      <c r="F28" s="338"/>
      <c r="G28" s="42">
        <f t="shared" si="1"/>
        <v>0</v>
      </c>
    </row>
    <row r="29" spans="1:7" ht="15" customHeight="1" x14ac:dyDescent="0.25">
      <c r="A29" s="18"/>
      <c r="B29" s="24"/>
      <c r="C29" s="359"/>
      <c r="D29" s="8"/>
      <c r="E29" s="4"/>
      <c r="F29" s="338"/>
      <c r="G29" s="42">
        <f t="shared" si="1"/>
        <v>0</v>
      </c>
    </row>
    <row r="30" spans="1:7" ht="15" customHeight="1" x14ac:dyDescent="0.25">
      <c r="A30" s="18"/>
      <c r="B30" s="24"/>
      <c r="C30" s="359"/>
      <c r="D30" s="8"/>
      <c r="E30" s="4"/>
      <c r="F30" s="338"/>
      <c r="G30" s="42">
        <f t="shared" si="1"/>
        <v>0</v>
      </c>
    </row>
    <row r="31" spans="1:7" ht="15" customHeight="1" x14ac:dyDescent="0.25">
      <c r="A31" s="18"/>
      <c r="B31" s="24"/>
      <c r="C31" s="359"/>
      <c r="D31" s="8"/>
      <c r="E31" s="4"/>
      <c r="F31" s="338"/>
      <c r="G31" s="42">
        <f t="shared" si="1"/>
        <v>0</v>
      </c>
    </row>
    <row r="32" spans="1:7" x14ac:dyDescent="0.25">
      <c r="A32" s="12"/>
      <c r="B32" s="41"/>
      <c r="C32" s="13"/>
      <c r="D32" s="13"/>
      <c r="E32" s="13"/>
      <c r="F32" s="338"/>
      <c r="G32" s="14"/>
    </row>
    <row r="33" spans="1:7" x14ac:dyDescent="0.25">
      <c r="A33" s="12"/>
      <c r="B33" s="41"/>
      <c r="C33" s="13"/>
      <c r="D33" s="13"/>
      <c r="E33" s="13"/>
      <c r="F33" s="338"/>
      <c r="G33" s="14"/>
    </row>
    <row r="34" spans="1:7" x14ac:dyDescent="0.25">
      <c r="A34" s="12"/>
      <c r="B34" s="41"/>
      <c r="C34" s="13"/>
      <c r="D34" s="13"/>
      <c r="E34" s="13"/>
      <c r="F34" s="13"/>
      <c r="G34" s="14"/>
    </row>
    <row r="35" spans="1:7" ht="15" customHeight="1" x14ac:dyDescent="0.25">
      <c r="A35" s="32"/>
      <c r="B35" s="49"/>
      <c r="C35" s="35"/>
      <c r="D35" s="358" t="s">
        <v>115</v>
      </c>
      <c r="E35" s="358"/>
      <c r="F35" s="358"/>
      <c r="G35" s="51">
        <f>SUM(G23:G31)</f>
        <v>0</v>
      </c>
    </row>
    <row r="36" spans="1:7" ht="15.75" thickBot="1" x14ac:dyDescent="0.3">
      <c r="A36" s="12"/>
      <c r="B36" s="41"/>
      <c r="C36" s="13"/>
      <c r="D36" s="13"/>
      <c r="E36" s="13"/>
      <c r="F36" s="13"/>
      <c r="G36" s="14"/>
    </row>
    <row r="37" spans="1:7" ht="21.75" thickBot="1" x14ac:dyDescent="0.4">
      <c r="A37" s="355" t="s">
        <v>214</v>
      </c>
      <c r="B37" s="356"/>
      <c r="C37" s="356"/>
      <c r="D37" s="356"/>
      <c r="E37" s="356"/>
      <c r="F37" s="349">
        <f>G35+G18</f>
        <v>0</v>
      </c>
      <c r="G37" s="350"/>
    </row>
    <row r="39" spans="1:7" ht="15" customHeight="1" x14ac:dyDescent="0.25">
      <c r="A39" s="360" t="s">
        <v>169</v>
      </c>
      <c r="B39" s="361"/>
      <c r="C39" s="361"/>
      <c r="D39" s="361"/>
      <c r="E39" s="361"/>
      <c r="F39" s="361"/>
      <c r="G39" s="362"/>
    </row>
    <row r="40" spans="1:7" x14ac:dyDescent="0.25">
      <c r="A40" s="363"/>
      <c r="B40" s="364"/>
      <c r="C40" s="364"/>
      <c r="D40" s="364"/>
      <c r="E40" s="364"/>
      <c r="F40" s="364"/>
      <c r="G40" s="365"/>
    </row>
    <row r="41" spans="1:7" x14ac:dyDescent="0.25">
      <c r="A41" s="175"/>
      <c r="B41" s="176"/>
      <c r="C41" s="176"/>
      <c r="D41" s="176"/>
      <c r="E41" s="176"/>
      <c r="F41" s="176"/>
      <c r="G41" s="177"/>
    </row>
    <row r="42" spans="1:7" ht="15" customHeight="1" x14ac:dyDescent="0.25">
      <c r="A42" s="352" t="s">
        <v>164</v>
      </c>
      <c r="B42" s="353"/>
      <c r="C42" s="353"/>
      <c r="D42" s="353"/>
      <c r="E42" s="353"/>
      <c r="F42" s="353"/>
      <c r="G42" s="354"/>
    </row>
    <row r="43" spans="1:7" x14ac:dyDescent="0.25">
      <c r="A43" s="161"/>
      <c r="B43" s="161"/>
      <c r="C43" s="161"/>
      <c r="D43" s="161"/>
      <c r="E43" s="161"/>
      <c r="F43" s="161"/>
      <c r="G43" s="161"/>
    </row>
    <row r="47" spans="1:7" ht="15.75" thickBot="1" x14ac:dyDescent="0.3"/>
    <row r="48" spans="1:7" x14ac:dyDescent="0.25">
      <c r="A48" s="343" t="s">
        <v>223</v>
      </c>
      <c r="B48" s="344"/>
      <c r="C48" s="344"/>
      <c r="D48" s="344"/>
      <c r="E48" s="30"/>
      <c r="F48" s="30"/>
      <c r="G48" s="36"/>
    </row>
    <row r="49" spans="1:7" ht="27" customHeight="1" x14ac:dyDescent="0.25">
      <c r="A49" s="345" t="s">
        <v>27</v>
      </c>
      <c r="B49" s="346" t="s">
        <v>61</v>
      </c>
      <c r="C49" s="342" t="s">
        <v>4</v>
      </c>
      <c r="D49" s="340" t="s">
        <v>160</v>
      </c>
      <c r="E49" s="340" t="s">
        <v>145</v>
      </c>
      <c r="F49" s="348" t="s">
        <v>78</v>
      </c>
      <c r="G49" s="351" t="s">
        <v>62</v>
      </c>
    </row>
    <row r="50" spans="1:7" ht="24" customHeight="1" x14ac:dyDescent="0.25">
      <c r="A50" s="345"/>
      <c r="B50" s="346"/>
      <c r="C50" s="342"/>
      <c r="D50" s="340"/>
      <c r="E50" s="340"/>
      <c r="F50" s="348"/>
      <c r="G50" s="351"/>
    </row>
    <row r="51" spans="1:7" ht="15" customHeight="1" x14ac:dyDescent="0.25">
      <c r="A51" s="12" t="s">
        <v>57</v>
      </c>
      <c r="B51" s="41">
        <f>'PID &amp; Cash Flow'!I48</f>
        <v>0</v>
      </c>
      <c r="C51" s="13"/>
      <c r="D51" s="59">
        <v>1</v>
      </c>
      <c r="E51" s="4"/>
      <c r="F51" s="338" t="s">
        <v>162</v>
      </c>
      <c r="G51" s="42">
        <f t="shared" ref="G51:G59" si="2">B51*E51</f>
        <v>0</v>
      </c>
    </row>
    <row r="52" spans="1:7" x14ac:dyDescent="0.25">
      <c r="A52" s="12" t="s">
        <v>58</v>
      </c>
      <c r="B52" s="41">
        <f>-'PID &amp; Cash Flow'!I63</f>
        <v>0</v>
      </c>
      <c r="C52" s="13"/>
      <c r="D52" s="59">
        <f>'PID &amp; Cash Flow'!$B$39</f>
        <v>0</v>
      </c>
      <c r="E52" s="4"/>
      <c r="F52" s="338"/>
      <c r="G52" s="42">
        <f t="shared" si="2"/>
        <v>0</v>
      </c>
    </row>
    <row r="53" spans="1:7" x14ac:dyDescent="0.25">
      <c r="A53" s="12" t="s">
        <v>59</v>
      </c>
      <c r="B53" s="41">
        <f>-'PID &amp; Cash Flow'!I64</f>
        <v>0</v>
      </c>
      <c r="C53" s="13"/>
      <c r="D53" s="59">
        <f>'PID &amp; Cash Flow'!$B$39</f>
        <v>0</v>
      </c>
      <c r="E53" s="4"/>
      <c r="F53" s="338"/>
      <c r="G53" s="42">
        <f t="shared" si="2"/>
        <v>0</v>
      </c>
    </row>
    <row r="54" spans="1:7" x14ac:dyDescent="0.25">
      <c r="A54" s="18"/>
      <c r="B54" s="24"/>
      <c r="C54" s="339" t="s">
        <v>60</v>
      </c>
      <c r="D54" s="8"/>
      <c r="E54" s="4"/>
      <c r="F54" s="338"/>
      <c r="G54" s="42">
        <f t="shared" si="2"/>
        <v>0</v>
      </c>
    </row>
    <row r="55" spans="1:7" x14ac:dyDescent="0.25">
      <c r="A55" s="18"/>
      <c r="B55" s="24"/>
      <c r="C55" s="339"/>
      <c r="D55" s="8"/>
      <c r="E55" s="4"/>
      <c r="F55" s="338"/>
      <c r="G55" s="42">
        <f t="shared" si="2"/>
        <v>0</v>
      </c>
    </row>
    <row r="56" spans="1:7" x14ac:dyDescent="0.25">
      <c r="A56" s="18"/>
      <c r="B56" s="24"/>
      <c r="C56" s="339"/>
      <c r="D56" s="8"/>
      <c r="E56" s="4"/>
      <c r="F56" s="338"/>
      <c r="G56" s="42">
        <f t="shared" si="2"/>
        <v>0</v>
      </c>
    </row>
    <row r="57" spans="1:7" x14ac:dyDescent="0.25">
      <c r="A57" s="18"/>
      <c r="B57" s="24"/>
      <c r="C57" s="339"/>
      <c r="D57" s="8"/>
      <c r="E57" s="4"/>
      <c r="F57" s="338"/>
      <c r="G57" s="42">
        <f t="shared" si="2"/>
        <v>0</v>
      </c>
    </row>
    <row r="58" spans="1:7" x14ac:dyDescent="0.25">
      <c r="A58" s="18"/>
      <c r="B58" s="24"/>
      <c r="C58" s="339"/>
      <c r="D58" s="8"/>
      <c r="E58" s="4"/>
      <c r="F58" s="338"/>
      <c r="G58" s="42">
        <f t="shared" si="2"/>
        <v>0</v>
      </c>
    </row>
    <row r="59" spans="1:7" x14ac:dyDescent="0.25">
      <c r="A59" s="18"/>
      <c r="B59" s="24"/>
      <c r="C59" s="339"/>
      <c r="D59" s="8"/>
      <c r="E59" s="4"/>
      <c r="F59" s="338"/>
      <c r="G59" s="42">
        <f t="shared" si="2"/>
        <v>0</v>
      </c>
    </row>
    <row r="60" spans="1:7" x14ac:dyDescent="0.25">
      <c r="A60" s="12"/>
      <c r="B60" s="41"/>
      <c r="C60" s="13"/>
      <c r="D60" s="13"/>
      <c r="E60" s="44"/>
      <c r="F60" s="338"/>
      <c r="G60" s="14"/>
    </row>
    <row r="61" spans="1:7" x14ac:dyDescent="0.25">
      <c r="A61" s="12"/>
      <c r="B61" s="41"/>
      <c r="C61" s="13"/>
      <c r="D61" s="13"/>
      <c r="E61" s="44"/>
      <c r="F61" s="338"/>
      <c r="G61" s="14"/>
    </row>
    <row r="62" spans="1:7" ht="15.75" customHeight="1" x14ac:dyDescent="0.25">
      <c r="A62" s="12"/>
      <c r="B62" s="41"/>
      <c r="C62" s="13"/>
      <c r="D62" s="13"/>
      <c r="E62" s="44"/>
      <c r="F62" s="44"/>
      <c r="G62" s="14"/>
    </row>
    <row r="63" spans="1:7" ht="15.75" customHeight="1" thickBot="1" x14ac:dyDescent="0.3">
      <c r="A63" s="19"/>
      <c r="B63" s="27"/>
      <c r="C63" s="337" t="s">
        <v>114</v>
      </c>
      <c r="D63" s="337"/>
      <c r="E63" s="337"/>
      <c r="F63" s="57"/>
      <c r="G63" s="43">
        <f>SUM(G51:G59)</f>
        <v>0</v>
      </c>
    </row>
    <row r="64" spans="1:7" ht="15.75" thickBot="1" x14ac:dyDescent="0.3">
      <c r="E64" s="38"/>
      <c r="F64" s="38"/>
    </row>
    <row r="65" spans="1:7" x14ac:dyDescent="0.25">
      <c r="A65" s="46" t="s">
        <v>221</v>
      </c>
      <c r="B65" s="47"/>
      <c r="C65" s="47"/>
      <c r="D65" s="30"/>
      <c r="E65" s="30"/>
      <c r="F65" s="30"/>
      <c r="G65" s="36"/>
    </row>
    <row r="66" spans="1:7" ht="30" customHeight="1" x14ac:dyDescent="0.25">
      <c r="A66" s="345" t="s">
        <v>27</v>
      </c>
      <c r="B66" s="346" t="s">
        <v>61</v>
      </c>
      <c r="C66" s="342" t="s">
        <v>4</v>
      </c>
      <c r="D66" s="347" t="s">
        <v>161</v>
      </c>
      <c r="E66" s="340" t="s">
        <v>148</v>
      </c>
      <c r="F66" s="348" t="s">
        <v>78</v>
      </c>
      <c r="G66" s="351" t="s">
        <v>62</v>
      </c>
    </row>
    <row r="67" spans="1:7" ht="26.25" customHeight="1" x14ac:dyDescent="0.25">
      <c r="A67" s="345"/>
      <c r="B67" s="346"/>
      <c r="C67" s="342"/>
      <c r="D67" s="347"/>
      <c r="E67" s="341"/>
      <c r="F67" s="366"/>
      <c r="G67" s="351"/>
    </row>
    <row r="68" spans="1:7" ht="15" customHeight="1" x14ac:dyDescent="0.25">
      <c r="A68" s="12" t="s">
        <v>50</v>
      </c>
      <c r="B68" s="41">
        <f>'PID &amp; Cash Flow'!I49</f>
        <v>0</v>
      </c>
      <c r="C68" s="13"/>
      <c r="D68" s="59">
        <f>'PID &amp; Cash Flow'!$B$39</f>
        <v>0</v>
      </c>
      <c r="E68" s="4"/>
      <c r="F68" s="357" t="s">
        <v>163</v>
      </c>
      <c r="G68" s="42">
        <f t="shared" ref="G68:G76" si="3">B68*E68</f>
        <v>0</v>
      </c>
    </row>
    <row r="69" spans="1:7" x14ac:dyDescent="0.25">
      <c r="A69" s="12" t="s">
        <v>23</v>
      </c>
      <c r="B69" s="41">
        <f>'PID &amp; Cash Flow'!I50</f>
        <v>0</v>
      </c>
      <c r="C69" s="13"/>
      <c r="D69" s="59">
        <f>'PID &amp; Cash Flow'!$B$39</f>
        <v>0</v>
      </c>
      <c r="E69" s="4"/>
      <c r="F69" s="338"/>
      <c r="G69" s="42">
        <f t="shared" si="3"/>
        <v>0</v>
      </c>
    </row>
    <row r="70" spans="1:7" x14ac:dyDescent="0.25">
      <c r="A70" s="12" t="s">
        <v>224</v>
      </c>
      <c r="B70" s="41">
        <f>'PID &amp; Cash Flow'!I51</f>
        <v>0</v>
      </c>
      <c r="C70" s="13"/>
      <c r="D70" s="59">
        <f>'PID &amp; Cash Flow'!$B$39</f>
        <v>0</v>
      </c>
      <c r="E70" s="4"/>
      <c r="F70" s="338"/>
      <c r="G70" s="42">
        <f>B70*E70</f>
        <v>0</v>
      </c>
    </row>
    <row r="71" spans="1:7" x14ac:dyDescent="0.25">
      <c r="A71" s="23" t="s">
        <v>54</v>
      </c>
      <c r="B71" s="41">
        <f>'PID &amp; Cash Flow'!I52</f>
        <v>0</v>
      </c>
      <c r="C71" s="13"/>
      <c r="D71" s="59">
        <f>'PID &amp; Cash Flow'!$B$39</f>
        <v>0</v>
      </c>
      <c r="E71" s="4"/>
      <c r="F71" s="338"/>
      <c r="G71" s="42">
        <f t="shared" si="3"/>
        <v>0</v>
      </c>
    </row>
    <row r="72" spans="1:7" x14ac:dyDescent="0.25">
      <c r="A72" s="18"/>
      <c r="B72" s="24"/>
      <c r="C72" s="339" t="s">
        <v>60</v>
      </c>
      <c r="D72" s="8"/>
      <c r="E72" s="4"/>
      <c r="F72" s="338"/>
      <c r="G72" s="42">
        <f t="shared" si="3"/>
        <v>0</v>
      </c>
    </row>
    <row r="73" spans="1:7" x14ac:dyDescent="0.25">
      <c r="A73" s="18"/>
      <c r="B73" s="24"/>
      <c r="C73" s="339"/>
      <c r="D73" s="8"/>
      <c r="E73" s="4"/>
      <c r="F73" s="338"/>
      <c r="G73" s="42">
        <f t="shared" si="3"/>
        <v>0</v>
      </c>
    </row>
    <row r="74" spans="1:7" x14ac:dyDescent="0.25">
      <c r="A74" s="18"/>
      <c r="B74" s="24"/>
      <c r="C74" s="339"/>
      <c r="D74" s="8"/>
      <c r="E74" s="4"/>
      <c r="F74" s="338"/>
      <c r="G74" s="42">
        <f t="shared" si="3"/>
        <v>0</v>
      </c>
    </row>
    <row r="75" spans="1:7" x14ac:dyDescent="0.25">
      <c r="A75" s="18"/>
      <c r="B75" s="24"/>
      <c r="C75" s="339"/>
      <c r="D75" s="8"/>
      <c r="E75" s="4"/>
      <c r="F75" s="338"/>
      <c r="G75" s="42">
        <f t="shared" si="3"/>
        <v>0</v>
      </c>
    </row>
    <row r="76" spans="1:7" x14ac:dyDescent="0.25">
      <c r="A76" s="18"/>
      <c r="B76" s="24"/>
      <c r="C76" s="339"/>
      <c r="D76" s="8"/>
      <c r="E76" s="4"/>
      <c r="F76" s="338"/>
      <c r="G76" s="42">
        <f t="shared" si="3"/>
        <v>0</v>
      </c>
    </row>
    <row r="77" spans="1:7" x14ac:dyDescent="0.25">
      <c r="A77" s="12"/>
      <c r="B77" s="41"/>
      <c r="C77" s="13"/>
      <c r="D77" s="59"/>
      <c r="E77" s="13"/>
      <c r="F77" s="338"/>
      <c r="G77" s="14"/>
    </row>
    <row r="78" spans="1:7" x14ac:dyDescent="0.25">
      <c r="A78" s="12"/>
      <c r="B78" s="41"/>
      <c r="C78" s="13"/>
      <c r="D78" s="13"/>
      <c r="E78" s="13"/>
      <c r="F78" s="338"/>
      <c r="G78" s="14"/>
    </row>
    <row r="79" spans="1:7" x14ac:dyDescent="0.25">
      <c r="A79" s="12"/>
      <c r="B79" s="41"/>
      <c r="C79" s="13"/>
      <c r="D79" s="13"/>
      <c r="E79" s="13"/>
      <c r="F79" s="13"/>
      <c r="G79" s="14"/>
    </row>
    <row r="80" spans="1:7" ht="15.75" customHeight="1" thickBot="1" x14ac:dyDescent="0.3">
      <c r="A80" s="19"/>
      <c r="B80" s="27"/>
      <c r="C80" s="337" t="s">
        <v>115</v>
      </c>
      <c r="D80" s="337"/>
      <c r="E80" s="337"/>
      <c r="F80" s="57"/>
      <c r="G80" s="43">
        <f>SUM(G68:G76)</f>
        <v>0</v>
      </c>
    </row>
    <row r="81" spans="1:7" ht="15.75" thickBot="1" x14ac:dyDescent="0.3">
      <c r="A81" s="12"/>
      <c r="B81" s="41"/>
      <c r="C81" s="13"/>
      <c r="D81" s="13"/>
      <c r="E81" s="13"/>
      <c r="F81" s="13"/>
      <c r="G81" s="14"/>
    </row>
    <row r="82" spans="1:7" ht="21.75" thickBot="1" x14ac:dyDescent="0.4">
      <c r="A82" s="355" t="s">
        <v>213</v>
      </c>
      <c r="B82" s="356"/>
      <c r="C82" s="356"/>
      <c r="D82" s="356"/>
      <c r="E82" s="356"/>
      <c r="F82" s="349">
        <f>G80+G63</f>
        <v>0</v>
      </c>
      <c r="G82" s="350"/>
    </row>
    <row r="84" spans="1:7" ht="13.5" customHeight="1" x14ac:dyDescent="0.25">
      <c r="A84" s="360" t="s">
        <v>169</v>
      </c>
      <c r="B84" s="361"/>
      <c r="C84" s="361"/>
      <c r="D84" s="361"/>
      <c r="E84" s="361"/>
      <c r="F84" s="361"/>
      <c r="G84" s="362"/>
    </row>
    <row r="85" spans="1:7" ht="15" customHeight="1" x14ac:dyDescent="0.25">
      <c r="A85" s="363"/>
      <c r="B85" s="364"/>
      <c r="C85" s="364"/>
      <c r="D85" s="364"/>
      <c r="E85" s="364"/>
      <c r="F85" s="364"/>
      <c r="G85" s="365"/>
    </row>
    <row r="86" spans="1:7" x14ac:dyDescent="0.25">
      <c r="A86" s="175"/>
      <c r="B86" s="176"/>
      <c r="C86" s="176"/>
      <c r="D86" s="176"/>
      <c r="E86" s="176"/>
      <c r="F86" s="176"/>
      <c r="G86" s="177"/>
    </row>
    <row r="87" spans="1:7" ht="15" customHeight="1" x14ac:dyDescent="0.25">
      <c r="A87" s="352" t="s">
        <v>164</v>
      </c>
      <c r="B87" s="353"/>
      <c r="C87" s="353"/>
      <c r="D87" s="353"/>
      <c r="E87" s="353"/>
      <c r="F87" s="353"/>
      <c r="G87" s="354"/>
    </row>
    <row r="88" spans="1:7" x14ac:dyDescent="0.25">
      <c r="A88" s="174"/>
      <c r="B88" s="174"/>
      <c r="C88" s="174"/>
      <c r="D88" s="174"/>
      <c r="E88" s="174"/>
      <c r="F88" s="174"/>
      <c r="G88" s="174"/>
    </row>
    <row r="95" spans="1:7" ht="15.75" thickBot="1" x14ac:dyDescent="0.3"/>
    <row r="96" spans="1:7" x14ac:dyDescent="0.25">
      <c r="A96" s="34"/>
      <c r="B96" s="40"/>
      <c r="C96" s="30"/>
      <c r="D96" s="30"/>
      <c r="E96" s="36"/>
      <c r="F96" s="13"/>
    </row>
    <row r="97" spans="1:6" ht="21" x14ac:dyDescent="0.25">
      <c r="A97" s="367" t="s">
        <v>65</v>
      </c>
      <c r="B97" s="368"/>
      <c r="C97" s="368"/>
      <c r="D97" s="368"/>
      <c r="E97" s="369"/>
      <c r="F97" s="13"/>
    </row>
    <row r="98" spans="1:6" ht="15" customHeight="1" x14ac:dyDescent="0.25">
      <c r="A98" s="243"/>
      <c r="B98" s="244"/>
      <c r="C98" s="372" t="s">
        <v>76</v>
      </c>
      <c r="D98" s="372" t="s">
        <v>77</v>
      </c>
      <c r="E98" s="245"/>
      <c r="F98" s="13"/>
    </row>
    <row r="99" spans="1:6" ht="15" customHeight="1" x14ac:dyDescent="0.25">
      <c r="A99" s="12"/>
      <c r="B99" s="41"/>
      <c r="C99" s="372"/>
      <c r="D99" s="372"/>
      <c r="E99" s="370" t="s">
        <v>69</v>
      </c>
      <c r="F99" s="13"/>
    </row>
    <row r="100" spans="1:6" x14ac:dyDescent="0.25">
      <c r="A100" s="378" t="s">
        <v>66</v>
      </c>
      <c r="B100" s="379"/>
      <c r="C100" s="373"/>
      <c r="D100" s="373"/>
      <c r="E100" s="371"/>
      <c r="F100" s="60"/>
    </row>
    <row r="101" spans="1:6" x14ac:dyDescent="0.25">
      <c r="A101" s="380" t="s">
        <v>67</v>
      </c>
      <c r="B101" s="381"/>
      <c r="C101" s="41">
        <f>IF(B6&gt;B51,(G68+G70),(G23+G25))</f>
        <v>0</v>
      </c>
      <c r="D101" s="41">
        <f>IF(B6&gt;B51,(G23+G25),(G68+G70))</f>
        <v>0</v>
      </c>
      <c r="E101" s="42">
        <f>C101-D101</f>
        <v>0</v>
      </c>
      <c r="F101" s="31"/>
    </row>
    <row r="102" spans="1:6" x14ac:dyDescent="0.25">
      <c r="A102" s="380" t="s">
        <v>23</v>
      </c>
      <c r="B102" s="381"/>
      <c r="C102" s="41">
        <f>IF(B6&gt;B51,G69,G24)</f>
        <v>0</v>
      </c>
      <c r="D102" s="41">
        <f>IF(B6&gt;B51,G24,G69 )</f>
        <v>0</v>
      </c>
      <c r="E102" s="42">
        <f>C102-D102</f>
        <v>0</v>
      </c>
      <c r="F102" s="31"/>
    </row>
    <row r="103" spans="1:6" x14ac:dyDescent="0.25">
      <c r="A103" s="384" t="s">
        <v>64</v>
      </c>
      <c r="B103" s="385"/>
      <c r="C103" s="41">
        <f>IF(B6&gt;B51,G71,G26 )</f>
        <v>0</v>
      </c>
      <c r="D103" s="41">
        <f>IF(B6&gt;B51,G26,G71 )</f>
        <v>0</v>
      </c>
      <c r="E103" s="42">
        <f>C103-D103</f>
        <v>0</v>
      </c>
      <c r="F103" s="31"/>
    </row>
    <row r="104" spans="1:6" x14ac:dyDescent="0.25">
      <c r="A104" s="380" t="s">
        <v>68</v>
      </c>
      <c r="B104" s="381"/>
      <c r="C104" s="45">
        <f>IF(B6&gt;B51,SUM(G72:G76),SUM(G27:G31))</f>
        <v>0</v>
      </c>
      <c r="D104" s="45">
        <f>IF(B6&gt;B51,SUM(G27:G31),SUM(G72:G76))</f>
        <v>0</v>
      </c>
      <c r="E104" s="42">
        <f>C104-D104</f>
        <v>0</v>
      </c>
      <c r="F104" s="31"/>
    </row>
    <row r="105" spans="1:6" x14ac:dyDescent="0.25">
      <c r="A105" s="12"/>
      <c r="B105" s="41"/>
      <c r="C105" s="13"/>
      <c r="D105" s="13"/>
      <c r="E105" s="14"/>
      <c r="F105" s="13"/>
    </row>
    <row r="106" spans="1:6" x14ac:dyDescent="0.25">
      <c r="A106" s="382" t="s">
        <v>158</v>
      </c>
      <c r="B106" s="383"/>
      <c r="C106" s="383"/>
      <c r="D106" s="383"/>
      <c r="E106" s="54">
        <f>SUM(E101:E104)</f>
        <v>0</v>
      </c>
      <c r="F106" s="58"/>
    </row>
    <row r="107" spans="1:6" x14ac:dyDescent="0.25">
      <c r="A107" s="12"/>
      <c r="B107" s="41"/>
      <c r="C107" s="372" t="s">
        <v>77</v>
      </c>
      <c r="D107" s="372" t="s">
        <v>76</v>
      </c>
      <c r="E107" s="14"/>
      <c r="F107" s="13"/>
    </row>
    <row r="108" spans="1:6" ht="15" customHeight="1" x14ac:dyDescent="0.25">
      <c r="A108" s="12"/>
      <c r="B108" s="41"/>
      <c r="C108" s="372"/>
      <c r="D108" s="372"/>
      <c r="E108" s="370" t="s">
        <v>69</v>
      </c>
      <c r="F108" s="13"/>
    </row>
    <row r="109" spans="1:6" x14ac:dyDescent="0.25">
      <c r="A109" s="378" t="s">
        <v>70</v>
      </c>
      <c r="B109" s="379"/>
      <c r="C109" s="373"/>
      <c r="D109" s="373"/>
      <c r="E109" s="371"/>
      <c r="F109" s="13"/>
    </row>
    <row r="110" spans="1:6" x14ac:dyDescent="0.25">
      <c r="A110" s="380" t="s">
        <v>57</v>
      </c>
      <c r="B110" s="381"/>
      <c r="C110" s="41">
        <f>IF(B6&gt;B51, G6,G51 )</f>
        <v>0</v>
      </c>
      <c r="D110" s="41">
        <f>IF(B6&gt;B51, G51,G6 )</f>
        <v>0</v>
      </c>
      <c r="E110" s="55">
        <f>C110-D110</f>
        <v>0</v>
      </c>
      <c r="F110" s="41"/>
    </row>
    <row r="111" spans="1:6" x14ac:dyDescent="0.25">
      <c r="A111" s="380" t="s">
        <v>72</v>
      </c>
      <c r="B111" s="381"/>
      <c r="C111" s="41">
        <f>IF(B6&gt;B51, SUM(G7:G8),SUM(G52:G53))</f>
        <v>0</v>
      </c>
      <c r="D111" s="41">
        <f>IF(B6&gt;B51,SUM(G52:G53), SUM(G7:G8))</f>
        <v>0</v>
      </c>
      <c r="E111" s="55">
        <f>C111-D111</f>
        <v>0</v>
      </c>
      <c r="F111" s="41"/>
    </row>
    <row r="112" spans="1:6" x14ac:dyDescent="0.25">
      <c r="A112" s="380" t="s">
        <v>68</v>
      </c>
      <c r="B112" s="381"/>
      <c r="C112" s="45">
        <f>IF(B6&gt;B51, SUM(G9:G14),SUM(G54:G59))</f>
        <v>0</v>
      </c>
      <c r="D112" s="45">
        <f>IF(B6&gt;B51,SUM(G54:G59),SUM(G9:G14))</f>
        <v>0</v>
      </c>
      <c r="E112" s="55">
        <f>C112-D112</f>
        <v>0</v>
      </c>
      <c r="F112" s="41"/>
    </row>
    <row r="113" spans="1:7" x14ac:dyDescent="0.25">
      <c r="A113" s="12"/>
      <c r="B113" s="41"/>
      <c r="C113" s="13"/>
      <c r="D113" s="13"/>
      <c r="E113" s="14"/>
      <c r="F113" s="13"/>
    </row>
    <row r="114" spans="1:7" x14ac:dyDescent="0.25">
      <c r="A114" s="382" t="s">
        <v>159</v>
      </c>
      <c r="B114" s="383"/>
      <c r="C114" s="383"/>
      <c r="D114" s="383"/>
      <c r="E114" s="54">
        <f>SUM(E110:E112)</f>
        <v>0</v>
      </c>
      <c r="F114" s="58"/>
    </row>
    <row r="115" spans="1:7" ht="15.75" thickBot="1" x14ac:dyDescent="0.3">
      <c r="A115" s="12"/>
      <c r="B115" s="41"/>
      <c r="C115" s="13"/>
      <c r="D115" s="13"/>
      <c r="E115" s="14"/>
      <c r="F115" s="13"/>
    </row>
    <row r="116" spans="1:7" ht="21.75" customHeight="1" thickBot="1" x14ac:dyDescent="0.4">
      <c r="A116" s="375" t="s">
        <v>73</v>
      </c>
      <c r="B116" s="376"/>
      <c r="C116" s="376"/>
      <c r="D116" s="377"/>
      <c r="E116" s="149" t="e">
        <f>(E106/E114)</f>
        <v>#DIV/0!</v>
      </c>
      <c r="F116" s="13"/>
    </row>
    <row r="117" spans="1:7" ht="15" customHeight="1" x14ac:dyDescent="0.25">
      <c r="A117" s="12"/>
      <c r="B117" s="41"/>
      <c r="C117" s="61"/>
      <c r="D117" s="61"/>
      <c r="E117" s="62"/>
      <c r="F117" s="56"/>
    </row>
    <row r="118" spans="1:7" ht="15.75" thickBot="1" x14ac:dyDescent="0.3">
      <c r="A118" s="19"/>
      <c r="B118" s="27"/>
      <c r="C118" s="63"/>
      <c r="D118" s="63"/>
      <c r="E118" s="64"/>
      <c r="F118" s="56"/>
    </row>
    <row r="120" spans="1:7" x14ac:dyDescent="0.25">
      <c r="A120" s="374" t="s">
        <v>147</v>
      </c>
      <c r="B120" s="374"/>
      <c r="C120" s="374"/>
      <c r="D120" s="374"/>
      <c r="E120" s="374"/>
      <c r="F120" s="167"/>
      <c r="G120" s="167"/>
    </row>
    <row r="121" spans="1:7" x14ac:dyDescent="0.25">
      <c r="A121" s="374"/>
      <c r="B121" s="374"/>
      <c r="C121" s="374"/>
      <c r="D121" s="374"/>
      <c r="E121" s="374"/>
      <c r="F121" s="59"/>
      <c r="G121" s="59"/>
    </row>
    <row r="122" spans="1:7" x14ac:dyDescent="0.25">
      <c r="A122" s="374"/>
      <c r="B122" s="374"/>
      <c r="C122" s="374"/>
      <c r="D122" s="374"/>
      <c r="E122" s="374"/>
    </row>
  </sheetData>
  <mergeCells count="70">
    <mergeCell ref="A110:B110"/>
    <mergeCell ref="A106:D106"/>
    <mergeCell ref="C107:C109"/>
    <mergeCell ref="D107:D109"/>
    <mergeCell ref="E99:E100"/>
    <mergeCell ref="A84:G85"/>
    <mergeCell ref="C98:C100"/>
    <mergeCell ref="D98:D100"/>
    <mergeCell ref="A120:E122"/>
    <mergeCell ref="E108:E109"/>
    <mergeCell ref="A116:D116"/>
    <mergeCell ref="A100:B100"/>
    <mergeCell ref="A101:B101"/>
    <mergeCell ref="A111:B111"/>
    <mergeCell ref="A112:B112"/>
    <mergeCell ref="A114:D114"/>
    <mergeCell ref="A102:B102"/>
    <mergeCell ref="A103:B103"/>
    <mergeCell ref="A104:B104"/>
    <mergeCell ref="A109:B109"/>
    <mergeCell ref="F66:F67"/>
    <mergeCell ref="G66:G67"/>
    <mergeCell ref="F37:G37"/>
    <mergeCell ref="F6:F16"/>
    <mergeCell ref="A97:E97"/>
    <mergeCell ref="C27:C31"/>
    <mergeCell ref="A39:G40"/>
    <mergeCell ref="A42:G42"/>
    <mergeCell ref="A37:E37"/>
    <mergeCell ref="F4:F5"/>
    <mergeCell ref="A4:A5"/>
    <mergeCell ref="B4:B5"/>
    <mergeCell ref="C4:C5"/>
    <mergeCell ref="D4:D5"/>
    <mergeCell ref="E4:E5"/>
    <mergeCell ref="G4:G5"/>
    <mergeCell ref="E21:E22"/>
    <mergeCell ref="F21:F22"/>
    <mergeCell ref="F82:G82"/>
    <mergeCell ref="G49:G50"/>
    <mergeCell ref="A87:G87"/>
    <mergeCell ref="F51:F61"/>
    <mergeCell ref="A3:D3"/>
    <mergeCell ref="C9:C14"/>
    <mergeCell ref="A21:A22"/>
    <mergeCell ref="B21:B22"/>
    <mergeCell ref="C21:C22"/>
    <mergeCell ref="D21:D22"/>
    <mergeCell ref="A82:E82"/>
    <mergeCell ref="G21:G22"/>
    <mergeCell ref="F68:F78"/>
    <mergeCell ref="D18:F18"/>
    <mergeCell ref="D35:F35"/>
    <mergeCell ref="C63:E63"/>
    <mergeCell ref="C80:E80"/>
    <mergeCell ref="F23:F33"/>
    <mergeCell ref="C54:C59"/>
    <mergeCell ref="C72:C76"/>
    <mergeCell ref="E66:E67"/>
    <mergeCell ref="C49:C50"/>
    <mergeCell ref="D49:D50"/>
    <mergeCell ref="E49:E50"/>
    <mergeCell ref="A48:D48"/>
    <mergeCell ref="A66:A67"/>
    <mergeCell ref="B66:B67"/>
    <mergeCell ref="C66:C67"/>
    <mergeCell ref="D66:D67"/>
    <mergeCell ref="A49:A50"/>
    <mergeCell ref="B49:B50"/>
    <mergeCell ref="F49:F5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6"/>
  <sheetViews>
    <sheetView zoomScale="110" zoomScaleNormal="110" workbookViewId="0">
      <selection activeCell="K60" sqref="K60"/>
    </sheetView>
  </sheetViews>
  <sheetFormatPr defaultRowHeight="15" x14ac:dyDescent="0.25"/>
  <cols>
    <col min="1" max="1" width="6.28515625" customWidth="1"/>
    <col min="2" max="2" width="10.140625" customWidth="1"/>
    <col min="3" max="3" width="12.140625" customWidth="1"/>
    <col min="4" max="4" width="11.7109375" customWidth="1"/>
    <col min="5" max="5" width="11.85546875" customWidth="1"/>
    <col min="6" max="6" width="12.140625" customWidth="1"/>
    <col min="7" max="7" width="13.140625" customWidth="1"/>
    <col min="8" max="8" width="12.7109375" customWidth="1"/>
    <col min="9" max="9" width="13.7109375" customWidth="1"/>
    <col min="10" max="10" width="22.140625" customWidth="1"/>
    <col min="11" max="11" width="14.7109375" customWidth="1"/>
    <col min="12" max="12" width="18.140625" customWidth="1"/>
  </cols>
  <sheetData>
    <row r="1" spans="1:15" ht="21" x14ac:dyDescent="0.35">
      <c r="A1" s="399" t="s">
        <v>74</v>
      </c>
      <c r="B1" s="399"/>
      <c r="C1" s="399"/>
      <c r="D1" s="399"/>
      <c r="E1" s="399"/>
      <c r="I1" s="392" t="s">
        <v>132</v>
      </c>
      <c r="J1" s="393"/>
      <c r="K1" s="393"/>
      <c r="L1" s="393"/>
      <c r="M1" s="394"/>
    </row>
    <row r="2" spans="1:15" ht="15.75" thickBot="1" x14ac:dyDescent="0.3">
      <c r="I2" s="12" t="s">
        <v>91</v>
      </c>
      <c r="J2" s="13"/>
      <c r="K2" s="113">
        <f t="array" ref="K2">MIN(IF(H49:H82&gt;0, H49:H82))</f>
        <v>0</v>
      </c>
      <c r="L2" s="45"/>
      <c r="M2" s="14"/>
    </row>
    <row r="3" spans="1:15" ht="15.75" thickBot="1" x14ac:dyDescent="0.3">
      <c r="A3" s="413" t="s">
        <v>167</v>
      </c>
      <c r="B3" s="414"/>
      <c r="C3" s="414"/>
      <c r="D3" s="414"/>
      <c r="E3" s="414"/>
      <c r="F3" s="415"/>
      <c r="I3" s="395" t="s">
        <v>126</v>
      </c>
      <c r="J3" s="396"/>
      <c r="K3" s="152">
        <f>MATCH(K2,H49:H82,1)</f>
        <v>31</v>
      </c>
      <c r="L3" s="59"/>
      <c r="M3" s="14"/>
    </row>
    <row r="4" spans="1:15" ht="15" customHeight="1" x14ac:dyDescent="0.25">
      <c r="A4" s="409" t="s">
        <v>121</v>
      </c>
      <c r="B4" s="410"/>
      <c r="C4" s="407" t="s">
        <v>76</v>
      </c>
      <c r="D4" s="348" t="s">
        <v>77</v>
      </c>
      <c r="E4" s="386" t="s">
        <v>79</v>
      </c>
      <c r="F4" s="400" t="s">
        <v>4</v>
      </c>
      <c r="I4" s="397" t="s">
        <v>105</v>
      </c>
      <c r="J4" s="398"/>
      <c r="K4" s="59">
        <f>'PID &amp; Cash Flow'!B5+'Discount Payback Period'!K3</f>
        <v>31</v>
      </c>
      <c r="L4" s="44"/>
      <c r="M4" s="14"/>
    </row>
    <row r="5" spans="1:15" ht="15.75" thickBot="1" x14ac:dyDescent="0.3">
      <c r="A5" s="411"/>
      <c r="B5" s="412"/>
      <c r="C5" s="408"/>
      <c r="D5" s="366"/>
      <c r="E5" s="387"/>
      <c r="F5" s="401"/>
      <c r="I5" s="151"/>
      <c r="J5" s="116"/>
      <c r="K5" s="116"/>
      <c r="L5" s="115"/>
      <c r="M5" s="21"/>
    </row>
    <row r="6" spans="1:15" ht="16.5" customHeight="1" x14ac:dyDescent="0.25">
      <c r="A6" s="405" t="s">
        <v>57</v>
      </c>
      <c r="B6" s="406"/>
      <c r="C6" s="41">
        <f>IF('PID &amp; Cash Flow'!I6&gt;'PID &amp; Cash Flow'!I48,'PID &amp; Cash Flow'!I48, 'PID &amp; Cash Flow'!I6)</f>
        <v>0</v>
      </c>
      <c r="D6" s="31">
        <f>IF('PID &amp; Cash Flow'!I6&gt;'PID &amp; Cash Flow'!I48,'PID &amp; Cash Flow'!I6, 'PID &amp; Cash Flow'!I48)</f>
        <v>0</v>
      </c>
      <c r="E6" s="31">
        <f>C6-D6</f>
        <v>0</v>
      </c>
      <c r="F6" s="283" t="s">
        <v>120</v>
      </c>
      <c r="H6" s="13"/>
      <c r="I6" s="13"/>
      <c r="J6" s="13"/>
      <c r="K6" s="13"/>
      <c r="L6" s="44"/>
      <c r="M6" s="13"/>
      <c r="N6" s="13"/>
      <c r="O6" s="13"/>
    </row>
    <row r="7" spans="1:15" x14ac:dyDescent="0.25">
      <c r="A7" s="405" t="s">
        <v>67</v>
      </c>
      <c r="B7" s="406"/>
      <c r="C7" s="41">
        <f>IF('PID &amp; Cash Flow'!I6&gt;'PID &amp; Cash Flow'!I48,('PID &amp; Cash Flow'!I49+'PID &amp; Cash Flow'!I51),('PID &amp; Cash Flow'!I7+'PID &amp; Cash Flow'!I9))</f>
        <v>0</v>
      </c>
      <c r="D7" s="31">
        <f>IF('PID &amp; Cash Flow'!I6&gt;'PID &amp; Cash Flow'!I48,('PID &amp; Cash Flow'!I7+'PID &amp; Cash Flow'!I9),('PID &amp; Cash Flow'!I49+'PID &amp; Cash Flow'!I51))</f>
        <v>0</v>
      </c>
      <c r="E7" s="31">
        <f t="shared" ref="E7:E16" si="0">C7-D7</f>
        <v>0</v>
      </c>
      <c r="F7" s="283"/>
      <c r="H7" s="13"/>
      <c r="I7" s="416" t="s">
        <v>157</v>
      </c>
      <c r="J7" s="416"/>
      <c r="K7" s="416"/>
      <c r="L7" s="416"/>
      <c r="M7" s="416"/>
      <c r="N7" s="13"/>
      <c r="O7" s="13"/>
    </row>
    <row r="8" spans="1:15" x14ac:dyDescent="0.25">
      <c r="A8" s="405" t="s">
        <v>23</v>
      </c>
      <c r="B8" s="406"/>
      <c r="C8" s="41">
        <f>IF('PID &amp; Cash Flow'!I6&gt;'PID &amp; Cash Flow'!I48,'PID &amp; Cash Flow'!I50,'PID &amp; Cash Flow'!I8)</f>
        <v>0</v>
      </c>
      <c r="D8" s="41">
        <f>IF('PID &amp; Cash Flow'!I6&gt;'PID &amp; Cash Flow'!I48,'PID &amp; Cash Flow'!I8,'PID &amp; Cash Flow'!I50)</f>
        <v>0</v>
      </c>
      <c r="E8" s="31">
        <f t="shared" si="0"/>
        <v>0</v>
      </c>
      <c r="F8" s="283"/>
      <c r="H8" s="13"/>
      <c r="I8" s="416"/>
      <c r="J8" s="416"/>
      <c r="K8" s="416"/>
      <c r="L8" s="416"/>
      <c r="M8" s="416"/>
      <c r="N8" s="13"/>
      <c r="O8" s="13"/>
    </row>
    <row r="9" spans="1:15" ht="15.75" customHeight="1" x14ac:dyDescent="0.25">
      <c r="A9" s="405" t="s">
        <v>64</v>
      </c>
      <c r="B9" s="406"/>
      <c r="C9" s="236">
        <f>IF('PID &amp; Cash Flow'!I6&gt;'PID &amp; Cash Flow'!I48,'PID &amp; Cash Flow'!I52,'PID &amp; Cash Flow'!I10)</f>
        <v>0</v>
      </c>
      <c r="D9" s="236">
        <f>IF('PID &amp; Cash Flow'!I6&gt;'PID &amp; Cash Flow'!I48,'PID &amp; Cash Flow'!I10,'PID &amp; Cash Flow'!I52)</f>
        <v>0</v>
      </c>
      <c r="E9" s="237">
        <f t="shared" si="0"/>
        <v>0</v>
      </c>
      <c r="F9" s="131"/>
      <c r="H9" s="13"/>
      <c r="N9" s="13"/>
      <c r="O9" s="13"/>
    </row>
    <row r="10" spans="1:15" ht="40.5" customHeight="1" x14ac:dyDescent="0.25">
      <c r="A10" s="402" t="s">
        <v>80</v>
      </c>
      <c r="B10" s="326"/>
      <c r="C10" s="45">
        <f>IF('PID &amp; Cash Flow'!I6&gt;'PID &amp; Cash Flow'!I48,SUM('PID &amp; Cash Flow'!I53:I55),SUM('PID &amp; Cash Flow'!I11:I13))</f>
        <v>0</v>
      </c>
      <c r="D10" s="45">
        <f>IF('PID &amp; Cash Flow'!I6&gt;'PID &amp; Cash Flow'!I48,SUM('PID &amp; Cash Flow'!I11:I13),SUM('PID &amp; Cash Flow'!I53:I55))</f>
        <v>0</v>
      </c>
      <c r="E10" s="31">
        <f t="shared" si="0"/>
        <v>0</v>
      </c>
      <c r="F10" s="131" t="s">
        <v>119</v>
      </c>
      <c r="H10" s="13"/>
      <c r="N10" s="13"/>
      <c r="O10" s="13"/>
    </row>
    <row r="11" spans="1:15" ht="18.75" customHeight="1" x14ac:dyDescent="0.35">
      <c r="A11" s="403"/>
      <c r="B11" s="404"/>
      <c r="C11" s="24"/>
      <c r="D11" s="24"/>
      <c r="E11" s="156">
        <f t="shared" si="0"/>
        <v>0</v>
      </c>
      <c r="F11" s="283" t="s">
        <v>123</v>
      </c>
      <c r="H11" s="13"/>
      <c r="I11" s="163"/>
      <c r="J11" s="163"/>
      <c r="K11" s="59"/>
      <c r="L11" s="161"/>
      <c r="M11" s="59"/>
      <c r="N11" s="59"/>
      <c r="O11" s="13"/>
    </row>
    <row r="12" spans="1:15" ht="19.5" customHeight="1" x14ac:dyDescent="0.35">
      <c r="A12" s="388"/>
      <c r="B12" s="389"/>
      <c r="C12" s="24"/>
      <c r="D12" s="24"/>
      <c r="E12" s="156">
        <f t="shared" si="0"/>
        <v>0</v>
      </c>
      <c r="F12" s="283"/>
      <c r="H12" s="13"/>
      <c r="I12" s="164"/>
      <c r="J12" s="164"/>
      <c r="K12" s="164"/>
      <c r="L12" s="164"/>
      <c r="M12" s="164"/>
      <c r="N12" s="59"/>
      <c r="O12" s="13"/>
    </row>
    <row r="13" spans="1:15" ht="17.25" customHeight="1" x14ac:dyDescent="0.25">
      <c r="A13" s="388"/>
      <c r="B13" s="389"/>
      <c r="C13" s="24"/>
      <c r="D13" s="24"/>
      <c r="E13" s="156">
        <f t="shared" si="0"/>
        <v>0</v>
      </c>
      <c r="F13" s="283"/>
      <c r="I13" s="59"/>
      <c r="J13" s="59"/>
      <c r="K13" s="45"/>
      <c r="L13" s="45"/>
      <c r="M13" s="59"/>
      <c r="N13" s="59"/>
    </row>
    <row r="14" spans="1:15" ht="18" customHeight="1" x14ac:dyDescent="0.25">
      <c r="A14" s="388"/>
      <c r="B14" s="389"/>
      <c r="C14" s="24"/>
      <c r="D14" s="24"/>
      <c r="E14" s="156">
        <f t="shared" si="0"/>
        <v>0</v>
      </c>
      <c r="F14" s="283"/>
      <c r="I14" s="165"/>
      <c r="J14" s="165"/>
      <c r="K14" s="59"/>
      <c r="L14" s="59"/>
      <c r="M14" s="59"/>
      <c r="N14" s="59"/>
    </row>
    <row r="15" spans="1:15" ht="18" customHeight="1" x14ac:dyDescent="0.25">
      <c r="A15" s="388"/>
      <c r="B15" s="389"/>
      <c r="C15" s="24"/>
      <c r="D15" s="24"/>
      <c r="E15" s="156">
        <f t="shared" si="0"/>
        <v>0</v>
      </c>
      <c r="F15" s="283"/>
      <c r="I15" s="165"/>
      <c r="J15" s="165"/>
      <c r="K15" s="59"/>
      <c r="L15" s="161"/>
      <c r="M15" s="59"/>
      <c r="N15" s="59"/>
    </row>
    <row r="16" spans="1:15" ht="17.25" customHeight="1" x14ac:dyDescent="0.25">
      <c r="A16" s="345" t="s">
        <v>156</v>
      </c>
      <c r="B16" s="390"/>
      <c r="C16" s="41">
        <f>IF('PID &amp; Cash Flow'!I6&gt;'PID &amp; Cash Flow'!I48,SUM('PID &amp; Cash Flow'!I63:I64),SUM('PID &amp; Cash Flow'!I19:I20))</f>
        <v>0</v>
      </c>
      <c r="D16" s="41">
        <f>IF('PID &amp; Cash Flow'!I6&gt;'PID &amp; Cash Flow'!I48, SUM('PID &amp; Cash Flow'!I19:I20),SUM('PID &amp; Cash Flow'!I63:I64))</f>
        <v>0</v>
      </c>
      <c r="E16" s="156">
        <f t="shared" si="0"/>
        <v>0</v>
      </c>
      <c r="F16" s="283"/>
      <c r="I16" s="59"/>
      <c r="J16" s="59"/>
      <c r="K16" s="59"/>
      <c r="L16" s="161"/>
      <c r="M16" s="59"/>
      <c r="N16" s="59"/>
    </row>
    <row r="17" spans="1:14" ht="16.5" customHeight="1" thickBot="1" x14ac:dyDescent="0.3">
      <c r="A17" s="419"/>
      <c r="B17" s="420"/>
      <c r="C17" s="420"/>
      <c r="D17" s="420"/>
      <c r="E17" s="420"/>
      <c r="F17" s="421"/>
      <c r="I17" s="59"/>
      <c r="J17" s="59"/>
      <c r="K17" s="59"/>
      <c r="L17" s="59"/>
      <c r="M17" s="59"/>
      <c r="N17" s="59"/>
    </row>
    <row r="18" spans="1:14" ht="21.75" thickBot="1" x14ac:dyDescent="0.4">
      <c r="A18" s="419" t="s">
        <v>153</v>
      </c>
      <c r="B18" s="420"/>
      <c r="C18" s="420"/>
      <c r="D18" s="420"/>
      <c r="E18" s="420"/>
      <c r="F18" s="421"/>
      <c r="I18" s="164"/>
      <c r="J18" s="164"/>
      <c r="K18" s="164"/>
      <c r="L18" s="164"/>
      <c r="M18" s="164"/>
      <c r="N18" s="59"/>
    </row>
    <row r="19" spans="1:14" x14ac:dyDescent="0.25">
      <c r="A19" s="391"/>
      <c r="B19" s="391"/>
      <c r="I19" s="59"/>
      <c r="J19" s="59"/>
      <c r="K19" s="162"/>
      <c r="L19" s="45"/>
      <c r="M19" s="59"/>
      <c r="N19" s="59"/>
    </row>
    <row r="20" spans="1:14" x14ac:dyDescent="0.25">
      <c r="I20" s="165"/>
      <c r="J20" s="165"/>
      <c r="K20" s="59"/>
      <c r="L20" s="59"/>
      <c r="M20" s="59"/>
      <c r="N20" s="59"/>
    </row>
    <row r="21" spans="1:14" x14ac:dyDescent="0.25">
      <c r="I21" s="165"/>
      <c r="J21" s="165"/>
      <c r="K21" s="59"/>
      <c r="L21" s="161"/>
      <c r="M21" s="59"/>
      <c r="N21" s="59"/>
    </row>
    <row r="22" spans="1:14" x14ac:dyDescent="0.25">
      <c r="I22" s="59"/>
      <c r="J22" s="59"/>
      <c r="K22" s="59"/>
      <c r="L22" s="161"/>
      <c r="M22" s="59"/>
      <c r="N22" s="59"/>
    </row>
    <row r="23" spans="1:14" x14ac:dyDescent="0.25">
      <c r="I23" s="59"/>
      <c r="J23" s="59"/>
      <c r="K23" s="59"/>
      <c r="L23" s="59"/>
      <c r="M23" s="59"/>
      <c r="N23" s="59"/>
    </row>
    <row r="24" spans="1:14" x14ac:dyDescent="0.25">
      <c r="I24" s="59"/>
      <c r="J24" s="59"/>
      <c r="K24" s="59"/>
      <c r="L24" s="59"/>
      <c r="M24" s="59"/>
      <c r="N24" s="59"/>
    </row>
    <row r="25" spans="1:14" x14ac:dyDescent="0.25">
      <c r="I25" s="59"/>
      <c r="J25" s="59"/>
      <c r="K25" s="59"/>
      <c r="L25" s="59"/>
      <c r="M25" s="59"/>
      <c r="N25" s="59"/>
    </row>
    <row r="26" spans="1:14" x14ac:dyDescent="0.25">
      <c r="I26" s="59"/>
      <c r="J26" s="59"/>
      <c r="K26" s="59"/>
      <c r="L26" s="59"/>
      <c r="M26" s="59"/>
      <c r="N26" s="59"/>
    </row>
    <row r="27" spans="1:14" x14ac:dyDescent="0.25">
      <c r="I27" s="59"/>
      <c r="J27" s="59"/>
      <c r="K27" s="59"/>
      <c r="L27" s="59"/>
      <c r="M27" s="59"/>
      <c r="N27" s="59"/>
    </row>
    <row r="28" spans="1:14" x14ac:dyDescent="0.25">
      <c r="I28" s="59"/>
      <c r="J28" s="59"/>
      <c r="K28" s="59"/>
      <c r="L28" s="59"/>
      <c r="M28" s="59"/>
      <c r="N28" s="59"/>
    </row>
    <row r="29" spans="1:14" x14ac:dyDescent="0.25">
      <c r="I29" s="59"/>
      <c r="J29" s="59"/>
      <c r="K29" s="59"/>
      <c r="L29" s="59"/>
      <c r="M29" s="59"/>
      <c r="N29" s="59"/>
    </row>
    <row r="30" spans="1:14" x14ac:dyDescent="0.25">
      <c r="I30" s="59"/>
      <c r="J30" s="59"/>
      <c r="K30" s="59"/>
      <c r="L30" s="59"/>
      <c r="M30" s="59"/>
      <c r="N30" s="59"/>
    </row>
    <row r="46" spans="1:8" x14ac:dyDescent="0.25">
      <c r="A46" s="422" t="s">
        <v>166</v>
      </c>
      <c r="B46" s="422"/>
      <c r="C46" s="422"/>
      <c r="D46" s="422"/>
      <c r="E46" s="422"/>
    </row>
    <row r="47" spans="1:8" x14ac:dyDescent="0.25">
      <c r="A47" t="s">
        <v>38</v>
      </c>
      <c r="B47" t="s">
        <v>39</v>
      </c>
      <c r="C47" t="s">
        <v>40</v>
      </c>
      <c r="D47" t="s">
        <v>41</v>
      </c>
      <c r="E47" t="s">
        <v>42</v>
      </c>
      <c r="F47" t="s">
        <v>43</v>
      </c>
      <c r="G47" t="s">
        <v>44</v>
      </c>
      <c r="H47" t="s">
        <v>86</v>
      </c>
    </row>
    <row r="48" spans="1:8" ht="45" customHeight="1" x14ac:dyDescent="0.25">
      <c r="A48" s="158" t="s">
        <v>81</v>
      </c>
      <c r="B48" s="158" t="s">
        <v>82</v>
      </c>
      <c r="C48" s="159" t="s">
        <v>154</v>
      </c>
      <c r="D48" s="159" t="s">
        <v>136</v>
      </c>
      <c r="E48" s="159" t="s">
        <v>135</v>
      </c>
      <c r="F48" s="159" t="s">
        <v>83</v>
      </c>
      <c r="G48" s="159" t="s">
        <v>84</v>
      </c>
      <c r="H48" s="159" t="s">
        <v>85</v>
      </c>
    </row>
    <row r="49" spans="1:8" x14ac:dyDescent="0.25">
      <c r="A49">
        <f>'PID &amp; Cash Flow'!B5</f>
        <v>0</v>
      </c>
      <c r="B49" s="67">
        <f>IF(AND(General!$K$28&gt;0,General!K39&gt;0),B95*AVERAGE(C95,D95),B95*C95)</f>
        <v>0</v>
      </c>
      <c r="C49" s="39">
        <f>($E$8+$E$9+$E$10)*H95</f>
        <v>0</v>
      </c>
      <c r="D49" s="172">
        <f>E95*G95</f>
        <v>0</v>
      </c>
      <c r="E49" s="66">
        <f>SUM(Table3[[#This Row],[Column2]:[Column4]])</f>
        <v>0</v>
      </c>
      <c r="F49" s="66">
        <f>Table3[[#This Row],[Column5]]</f>
        <v>0</v>
      </c>
      <c r="G49" s="66">
        <f>$E$6*G95</f>
        <v>0</v>
      </c>
      <c r="H49" s="66">
        <f>SUM(Table3[[#This Row],[Column6]:[Column7]])</f>
        <v>0</v>
      </c>
    </row>
    <row r="50" spans="1:8" x14ac:dyDescent="0.25">
      <c r="A50">
        <f>A49+1</f>
        <v>1</v>
      </c>
      <c r="B50" s="67">
        <f>IF(AND(General!$K$28&gt;0,General!K40&gt;0),B96*AVERAGE(C96,D96),B96*C96)</f>
        <v>0</v>
      </c>
      <c r="C50" s="39">
        <f t="shared" ref="C50:C79" si="1">($E$8+$E$9+$E$10)*H96</f>
        <v>0</v>
      </c>
      <c r="D50" s="172">
        <f t="shared" ref="D50:D79" si="2">E96*G96</f>
        <v>0</v>
      </c>
      <c r="E50" s="66">
        <f>SUM(Table3[[#This Row],[Column2]:[Column4]])</f>
        <v>0</v>
      </c>
      <c r="F50" s="66">
        <f>F49+Table3[[#This Row],[Column5]]</f>
        <v>0</v>
      </c>
      <c r="G50" s="66">
        <f t="shared" ref="G50:G79" si="3">$E$6*G96</f>
        <v>0</v>
      </c>
      <c r="H50" s="66">
        <f>SUM(Table3[[#This Row],[Column6]:[Column7]])</f>
        <v>0</v>
      </c>
    </row>
    <row r="51" spans="1:8" x14ac:dyDescent="0.25">
      <c r="A51">
        <f t="shared" ref="A51:A79" si="4">A50+1</f>
        <v>2</v>
      </c>
      <c r="B51" s="67">
        <f>IF(AND(General!$K$28&gt;0,General!K41&gt;0),B97*AVERAGE(C97,D97),B97*C97)</f>
        <v>0</v>
      </c>
      <c r="C51" s="39">
        <f t="shared" si="1"/>
        <v>0</v>
      </c>
      <c r="D51" s="172">
        <f t="shared" si="2"/>
        <v>0</v>
      </c>
      <c r="E51" s="66">
        <f>SUM(Table3[[#This Row],[Column2]:[Column4]])</f>
        <v>0</v>
      </c>
      <c r="F51" s="66">
        <f>F50+Table3[[#This Row],[Column5]]</f>
        <v>0</v>
      </c>
      <c r="G51" s="66">
        <f t="shared" si="3"/>
        <v>0</v>
      </c>
      <c r="H51" s="66">
        <f>SUM(Table3[[#This Row],[Column6]:[Column7]])</f>
        <v>0</v>
      </c>
    </row>
    <row r="52" spans="1:8" x14ac:dyDescent="0.25">
      <c r="A52">
        <f t="shared" si="4"/>
        <v>3</v>
      </c>
      <c r="B52" s="67">
        <f>IF(AND(General!$K$28&gt;0,General!K42&gt;0),B98*AVERAGE(C98,D98),B98*C98)</f>
        <v>0</v>
      </c>
      <c r="C52" s="39">
        <f t="shared" si="1"/>
        <v>0</v>
      </c>
      <c r="D52" s="172">
        <f t="shared" si="2"/>
        <v>0</v>
      </c>
      <c r="E52" s="66">
        <f>SUM(Table3[[#This Row],[Column2]:[Column4]])</f>
        <v>0</v>
      </c>
      <c r="F52" s="66">
        <f>F51+Table3[[#This Row],[Column5]]</f>
        <v>0</v>
      </c>
      <c r="G52" s="66">
        <f t="shared" si="3"/>
        <v>0</v>
      </c>
      <c r="H52" s="66">
        <f>SUM(Table3[[#This Row],[Column6]:[Column7]])</f>
        <v>0</v>
      </c>
    </row>
    <row r="53" spans="1:8" x14ac:dyDescent="0.25">
      <c r="A53">
        <f t="shared" si="4"/>
        <v>4</v>
      </c>
      <c r="B53" s="67">
        <f>IF(AND(General!$K$28&gt;0,General!K43&gt;0),B99*AVERAGE(C99,D99),B99*C99)</f>
        <v>0</v>
      </c>
      <c r="C53" s="39">
        <f t="shared" si="1"/>
        <v>0</v>
      </c>
      <c r="D53" s="172">
        <f t="shared" si="2"/>
        <v>0</v>
      </c>
      <c r="E53" s="66">
        <f>SUM(Table3[[#This Row],[Column2]:[Column4]])</f>
        <v>0</v>
      </c>
      <c r="F53" s="66">
        <f>F52+Table3[[#This Row],[Column5]]</f>
        <v>0</v>
      </c>
      <c r="G53" s="66">
        <f t="shared" si="3"/>
        <v>0</v>
      </c>
      <c r="H53" s="66">
        <f>SUM(Table3[[#This Row],[Column6]:[Column7]])</f>
        <v>0</v>
      </c>
    </row>
    <row r="54" spans="1:8" x14ac:dyDescent="0.25">
      <c r="A54">
        <f t="shared" si="4"/>
        <v>5</v>
      </c>
      <c r="B54" s="67">
        <f>IF(AND(General!$K$28&gt;0,General!K44&gt;0),B100*AVERAGE(C100,D100),B100*C100)</f>
        <v>0</v>
      </c>
      <c r="C54" s="39">
        <f t="shared" si="1"/>
        <v>0</v>
      </c>
      <c r="D54" s="172">
        <f t="shared" si="2"/>
        <v>0</v>
      </c>
      <c r="E54" s="66">
        <f>SUM(Table3[[#This Row],[Column2]:[Column4]])</f>
        <v>0</v>
      </c>
      <c r="F54" s="66">
        <f>F53+Table3[[#This Row],[Column5]]</f>
        <v>0</v>
      </c>
      <c r="G54" s="66">
        <f t="shared" si="3"/>
        <v>0</v>
      </c>
      <c r="H54" s="66">
        <f>SUM(Table3[[#This Row],[Column6]:[Column7]])</f>
        <v>0</v>
      </c>
    </row>
    <row r="55" spans="1:8" x14ac:dyDescent="0.25">
      <c r="A55">
        <f t="shared" si="4"/>
        <v>6</v>
      </c>
      <c r="B55" s="67">
        <f>IF(AND(General!$K$28&gt;0,General!K45&gt;0),B101*AVERAGE(C101,D101),B101*C101)</f>
        <v>0</v>
      </c>
      <c r="C55" s="39">
        <f t="shared" si="1"/>
        <v>0</v>
      </c>
      <c r="D55" s="172">
        <f t="shared" si="2"/>
        <v>0</v>
      </c>
      <c r="E55" s="66">
        <f>SUM(Table3[[#This Row],[Column2]:[Column4]])</f>
        <v>0</v>
      </c>
      <c r="F55" s="66">
        <f>F54+Table3[[#This Row],[Column5]]</f>
        <v>0</v>
      </c>
      <c r="G55" s="66">
        <f t="shared" si="3"/>
        <v>0</v>
      </c>
      <c r="H55" s="66">
        <f>SUM(Table3[[#This Row],[Column6]:[Column7]])</f>
        <v>0</v>
      </c>
    </row>
    <row r="56" spans="1:8" x14ac:dyDescent="0.25">
      <c r="A56">
        <f t="shared" si="4"/>
        <v>7</v>
      </c>
      <c r="B56" s="67">
        <f>IF(AND(General!$K$28&gt;0,General!K46&gt;0),B102*AVERAGE(C102,D102),B102*C102)</f>
        <v>0</v>
      </c>
      <c r="C56" s="39">
        <f t="shared" si="1"/>
        <v>0</v>
      </c>
      <c r="D56" s="172">
        <f t="shared" si="2"/>
        <v>0</v>
      </c>
      <c r="E56" s="66">
        <f>SUM(Table3[[#This Row],[Column2]:[Column4]])</f>
        <v>0</v>
      </c>
      <c r="F56" s="66">
        <f>F55+Table3[[#This Row],[Column5]]</f>
        <v>0</v>
      </c>
      <c r="G56" s="66">
        <f t="shared" si="3"/>
        <v>0</v>
      </c>
      <c r="H56" s="66">
        <f>SUM(Table3[[#This Row],[Column6]:[Column7]])</f>
        <v>0</v>
      </c>
    </row>
    <row r="57" spans="1:8" x14ac:dyDescent="0.25">
      <c r="A57">
        <f t="shared" si="4"/>
        <v>8</v>
      </c>
      <c r="B57" s="67">
        <f>IF(AND(General!$K$28&gt;0,General!K47&gt;0),B103*AVERAGE(C103,D103),B103*C103)</f>
        <v>0</v>
      </c>
      <c r="C57" s="39">
        <f t="shared" si="1"/>
        <v>0</v>
      </c>
      <c r="D57" s="172">
        <f t="shared" si="2"/>
        <v>0</v>
      </c>
      <c r="E57" s="66">
        <f>SUM(Table3[[#This Row],[Column2]:[Column4]])</f>
        <v>0</v>
      </c>
      <c r="F57" s="66">
        <f>F56+Table3[[#This Row],[Column5]]</f>
        <v>0</v>
      </c>
      <c r="G57" s="66">
        <f t="shared" si="3"/>
        <v>0</v>
      </c>
      <c r="H57" s="66">
        <f>SUM(Table3[[#This Row],[Column6]:[Column7]])</f>
        <v>0</v>
      </c>
    </row>
    <row r="58" spans="1:8" x14ac:dyDescent="0.25">
      <c r="A58">
        <f t="shared" si="4"/>
        <v>9</v>
      </c>
      <c r="B58" s="67">
        <f>IF(AND(General!$K$28&gt;0,General!K48&gt;0),B104*AVERAGE(C104,D104),B104*C104)</f>
        <v>0</v>
      </c>
      <c r="C58" s="39">
        <f t="shared" si="1"/>
        <v>0</v>
      </c>
      <c r="D58" s="172">
        <f t="shared" si="2"/>
        <v>0</v>
      </c>
      <c r="E58" s="66">
        <f>SUM(Table3[[#This Row],[Column2]:[Column4]])</f>
        <v>0</v>
      </c>
      <c r="F58" s="66">
        <f>F57+Table3[[#This Row],[Column5]]</f>
        <v>0</v>
      </c>
      <c r="G58" s="66">
        <f t="shared" si="3"/>
        <v>0</v>
      </c>
      <c r="H58" s="66">
        <f>SUM(Table3[[#This Row],[Column6]:[Column7]])</f>
        <v>0</v>
      </c>
    </row>
    <row r="59" spans="1:8" x14ac:dyDescent="0.25">
      <c r="A59">
        <f t="shared" si="4"/>
        <v>10</v>
      </c>
      <c r="B59" s="67">
        <f>IF(AND(General!$K$28&gt;0,General!K49&gt;0),B105*AVERAGE(C105,D105),B105*C105)</f>
        <v>0</v>
      </c>
      <c r="C59" s="39">
        <f t="shared" si="1"/>
        <v>0</v>
      </c>
      <c r="D59" s="172">
        <f t="shared" si="2"/>
        <v>0</v>
      </c>
      <c r="E59" s="66">
        <f>SUM(Table3[[#This Row],[Column2]:[Column4]])</f>
        <v>0</v>
      </c>
      <c r="F59" s="66">
        <f>F58+Table3[[#This Row],[Column5]]</f>
        <v>0</v>
      </c>
      <c r="G59" s="66">
        <f t="shared" si="3"/>
        <v>0</v>
      </c>
      <c r="H59" s="66">
        <f>SUM(Table3[[#This Row],[Column6]:[Column7]])</f>
        <v>0</v>
      </c>
    </row>
    <row r="60" spans="1:8" x14ac:dyDescent="0.25">
      <c r="A60">
        <f t="shared" si="4"/>
        <v>11</v>
      </c>
      <c r="B60" s="67">
        <f>IF(AND(General!$K$28&gt;0,General!K50&gt;0),B106*AVERAGE(C106,D106),B106*C106)</f>
        <v>0</v>
      </c>
      <c r="C60" s="39">
        <f t="shared" si="1"/>
        <v>0</v>
      </c>
      <c r="D60" s="172">
        <f t="shared" si="2"/>
        <v>0</v>
      </c>
      <c r="E60" s="66">
        <f>SUM(Table3[[#This Row],[Column2]:[Column4]])</f>
        <v>0</v>
      </c>
      <c r="F60" s="66">
        <f>F59+Table3[[#This Row],[Column5]]</f>
        <v>0</v>
      </c>
      <c r="G60" s="66">
        <f t="shared" si="3"/>
        <v>0</v>
      </c>
      <c r="H60" s="66">
        <f>SUM(Table3[[#This Row],[Column6]:[Column7]])</f>
        <v>0</v>
      </c>
    </row>
    <row r="61" spans="1:8" x14ac:dyDescent="0.25">
      <c r="A61">
        <f t="shared" si="4"/>
        <v>12</v>
      </c>
      <c r="B61" s="67">
        <f>IF(AND(General!$K$28&gt;0,General!K51&gt;0),B107*AVERAGE(C107,D107),B107*C107)</f>
        <v>0</v>
      </c>
      <c r="C61" s="39">
        <f t="shared" si="1"/>
        <v>0</v>
      </c>
      <c r="D61" s="172">
        <f t="shared" si="2"/>
        <v>0</v>
      </c>
      <c r="E61" s="66">
        <f>SUM(Table3[[#This Row],[Column2]:[Column4]])</f>
        <v>0</v>
      </c>
      <c r="F61" s="66">
        <f>F60+Table3[[#This Row],[Column5]]</f>
        <v>0</v>
      </c>
      <c r="G61" s="66">
        <f t="shared" si="3"/>
        <v>0</v>
      </c>
      <c r="H61" s="66">
        <f>SUM(Table3[[#This Row],[Column6]:[Column7]])</f>
        <v>0</v>
      </c>
    </row>
    <row r="62" spans="1:8" x14ac:dyDescent="0.25">
      <c r="A62">
        <f t="shared" si="4"/>
        <v>13</v>
      </c>
      <c r="B62" s="67">
        <f>IF(AND(General!$K$28&gt;0,General!K52&gt;0),B108*AVERAGE(C108,D108),B108*C108)</f>
        <v>0</v>
      </c>
      <c r="C62" s="39">
        <f t="shared" si="1"/>
        <v>0</v>
      </c>
      <c r="D62" s="172">
        <f t="shared" si="2"/>
        <v>0</v>
      </c>
      <c r="E62" s="66">
        <f>SUM(Table3[[#This Row],[Column2]:[Column4]])</f>
        <v>0</v>
      </c>
      <c r="F62" s="66">
        <f>F61+Table3[[#This Row],[Column5]]</f>
        <v>0</v>
      </c>
      <c r="G62" s="66">
        <f t="shared" si="3"/>
        <v>0</v>
      </c>
      <c r="H62" s="66">
        <f>SUM(Table3[[#This Row],[Column6]:[Column7]])</f>
        <v>0</v>
      </c>
    </row>
    <row r="63" spans="1:8" x14ac:dyDescent="0.25">
      <c r="A63">
        <f t="shared" si="4"/>
        <v>14</v>
      </c>
      <c r="B63" s="67">
        <f>IF(AND(General!$K$28&gt;0,General!K53&gt;0),B109*AVERAGE(C109,D109),B109*C109)</f>
        <v>0</v>
      </c>
      <c r="C63" s="39">
        <f t="shared" si="1"/>
        <v>0</v>
      </c>
      <c r="D63" s="172">
        <f t="shared" si="2"/>
        <v>0</v>
      </c>
      <c r="E63" s="66">
        <f>SUM(Table3[[#This Row],[Column2]:[Column4]])</f>
        <v>0</v>
      </c>
      <c r="F63" s="66">
        <f>F62+Table3[[#This Row],[Column5]]</f>
        <v>0</v>
      </c>
      <c r="G63" s="66">
        <f t="shared" si="3"/>
        <v>0</v>
      </c>
      <c r="H63" s="66">
        <f>SUM(Table3[[#This Row],[Column6]:[Column7]])</f>
        <v>0</v>
      </c>
    </row>
    <row r="64" spans="1:8" x14ac:dyDescent="0.25">
      <c r="A64">
        <f t="shared" si="4"/>
        <v>15</v>
      </c>
      <c r="B64" s="67">
        <f>IF(AND(General!$K$28&gt;0,General!K54&gt;0),B110*AVERAGE(C110,D110),B110*C110)</f>
        <v>0</v>
      </c>
      <c r="C64" s="39">
        <f t="shared" si="1"/>
        <v>0</v>
      </c>
      <c r="D64" s="172">
        <f t="shared" si="2"/>
        <v>0</v>
      </c>
      <c r="E64" s="66">
        <f>SUM(Table3[[#This Row],[Column2]:[Column4]])</f>
        <v>0</v>
      </c>
      <c r="F64" s="66">
        <f>F63+Table3[[#This Row],[Column5]]</f>
        <v>0</v>
      </c>
      <c r="G64" s="66">
        <f t="shared" si="3"/>
        <v>0</v>
      </c>
      <c r="H64" s="66">
        <f>SUM(Table3[[#This Row],[Column6]:[Column7]])</f>
        <v>0</v>
      </c>
    </row>
    <row r="65" spans="1:8" x14ac:dyDescent="0.25">
      <c r="A65">
        <f t="shared" si="4"/>
        <v>16</v>
      </c>
      <c r="B65" s="67">
        <f>IF(AND(General!$K$28&gt;0,General!K55&gt;0),B111*AVERAGE(C111,D111),B111*C111)</f>
        <v>0</v>
      </c>
      <c r="C65" s="39">
        <f t="shared" si="1"/>
        <v>0</v>
      </c>
      <c r="D65" s="172">
        <f t="shared" si="2"/>
        <v>0</v>
      </c>
      <c r="E65" s="66">
        <f>SUM(Table3[[#This Row],[Column2]:[Column4]])</f>
        <v>0</v>
      </c>
      <c r="F65" s="66">
        <f>F64+Table3[[#This Row],[Column5]]</f>
        <v>0</v>
      </c>
      <c r="G65" s="66">
        <f t="shared" si="3"/>
        <v>0</v>
      </c>
      <c r="H65" s="66">
        <f>SUM(Table3[[#This Row],[Column6]:[Column7]])</f>
        <v>0</v>
      </c>
    </row>
    <row r="66" spans="1:8" x14ac:dyDescent="0.25">
      <c r="A66">
        <f t="shared" si="4"/>
        <v>17</v>
      </c>
      <c r="B66" s="67">
        <f>IF(AND(General!$K$28&gt;0,General!K56&gt;0),B112*AVERAGE(C112,D112),B112*C112)</f>
        <v>0</v>
      </c>
      <c r="C66" s="39">
        <f t="shared" si="1"/>
        <v>0</v>
      </c>
      <c r="D66" s="172">
        <f t="shared" si="2"/>
        <v>0</v>
      </c>
      <c r="E66" s="66">
        <f>SUM(Table3[[#This Row],[Column2]:[Column4]])</f>
        <v>0</v>
      </c>
      <c r="F66" s="66">
        <f>F65+Table3[[#This Row],[Column5]]</f>
        <v>0</v>
      </c>
      <c r="G66" s="66">
        <f t="shared" si="3"/>
        <v>0</v>
      </c>
      <c r="H66" s="66">
        <f>SUM(Table3[[#This Row],[Column6]:[Column7]])</f>
        <v>0</v>
      </c>
    </row>
    <row r="67" spans="1:8" x14ac:dyDescent="0.25">
      <c r="A67">
        <f t="shared" si="4"/>
        <v>18</v>
      </c>
      <c r="B67" s="67">
        <f>IF(AND(General!$K$28&gt;0,General!K57&gt;0),B113*AVERAGE(C113,D113),B113*C113)</f>
        <v>0</v>
      </c>
      <c r="C67" s="39">
        <f t="shared" si="1"/>
        <v>0</v>
      </c>
      <c r="D67" s="172">
        <f t="shared" si="2"/>
        <v>0</v>
      </c>
      <c r="E67" s="66">
        <f>SUM(Table3[[#This Row],[Column2]:[Column4]])</f>
        <v>0</v>
      </c>
      <c r="F67" s="66">
        <f>F66+Table3[[#This Row],[Column5]]</f>
        <v>0</v>
      </c>
      <c r="G67" s="66">
        <f t="shared" si="3"/>
        <v>0</v>
      </c>
      <c r="H67" s="66">
        <f>SUM(Table3[[#This Row],[Column6]:[Column7]])</f>
        <v>0</v>
      </c>
    </row>
    <row r="68" spans="1:8" x14ac:dyDescent="0.25">
      <c r="A68">
        <f t="shared" si="4"/>
        <v>19</v>
      </c>
      <c r="B68" s="67">
        <f>IF(AND(General!$K$28&gt;0,General!K58&gt;0),B114*AVERAGE(C114,D114),B114*C114)</f>
        <v>0</v>
      </c>
      <c r="C68" s="39">
        <f t="shared" si="1"/>
        <v>0</v>
      </c>
      <c r="D68" s="172">
        <f t="shared" si="2"/>
        <v>0</v>
      </c>
      <c r="E68" s="66">
        <f>SUM(Table3[[#This Row],[Column2]:[Column4]])</f>
        <v>0</v>
      </c>
      <c r="F68" s="66">
        <f>F67+Table3[[#This Row],[Column5]]</f>
        <v>0</v>
      </c>
      <c r="G68" s="66">
        <f t="shared" si="3"/>
        <v>0</v>
      </c>
      <c r="H68" s="66">
        <f>SUM(Table3[[#This Row],[Column6]:[Column7]])</f>
        <v>0</v>
      </c>
    </row>
    <row r="69" spans="1:8" x14ac:dyDescent="0.25">
      <c r="A69">
        <f t="shared" si="4"/>
        <v>20</v>
      </c>
      <c r="B69" s="67">
        <f>IF(AND(General!$K$28&gt;0,General!K59&gt;0),B115*AVERAGE(C115,D115),B115*C115)</f>
        <v>0</v>
      </c>
      <c r="C69" s="39">
        <f t="shared" si="1"/>
        <v>0</v>
      </c>
      <c r="D69" s="172">
        <f t="shared" si="2"/>
        <v>0</v>
      </c>
      <c r="E69" s="66">
        <f>SUM(Table3[[#This Row],[Column2]:[Column4]])</f>
        <v>0</v>
      </c>
      <c r="F69" s="66">
        <f>F68+Table3[[#This Row],[Column5]]</f>
        <v>0</v>
      </c>
      <c r="G69" s="66">
        <f t="shared" si="3"/>
        <v>0</v>
      </c>
      <c r="H69" s="66">
        <f>SUM(Table3[[#This Row],[Column6]:[Column7]])</f>
        <v>0</v>
      </c>
    </row>
    <row r="70" spans="1:8" x14ac:dyDescent="0.25">
      <c r="A70">
        <f t="shared" si="4"/>
        <v>21</v>
      </c>
      <c r="B70" s="67">
        <f>IF(AND(General!$K$28&gt;0,General!K60&gt;0),B116*AVERAGE(C116,D116),B116*C116)</f>
        <v>0</v>
      </c>
      <c r="C70" s="39">
        <f t="shared" si="1"/>
        <v>0</v>
      </c>
      <c r="D70" s="172">
        <f t="shared" si="2"/>
        <v>0</v>
      </c>
      <c r="E70" s="66">
        <f>SUM(Table3[[#This Row],[Column2]:[Column4]])</f>
        <v>0</v>
      </c>
      <c r="F70" s="66">
        <f>F69+Table3[[#This Row],[Column5]]</f>
        <v>0</v>
      </c>
      <c r="G70" s="66">
        <f t="shared" si="3"/>
        <v>0</v>
      </c>
      <c r="H70" s="66">
        <f>SUM(Table3[[#This Row],[Column6]:[Column7]])</f>
        <v>0</v>
      </c>
    </row>
    <row r="71" spans="1:8" x14ac:dyDescent="0.25">
      <c r="A71">
        <f t="shared" si="4"/>
        <v>22</v>
      </c>
      <c r="B71" s="67">
        <f>IF(AND(General!$K$28&gt;0,General!K61&gt;0),B117*AVERAGE(C117,D117),B117*C117)</f>
        <v>0</v>
      </c>
      <c r="C71" s="39">
        <f t="shared" si="1"/>
        <v>0</v>
      </c>
      <c r="D71" s="172">
        <f t="shared" si="2"/>
        <v>0</v>
      </c>
      <c r="E71" s="66">
        <f>SUM(Table3[[#This Row],[Column2]:[Column4]])</f>
        <v>0</v>
      </c>
      <c r="F71" s="66">
        <f>F70+Table3[[#This Row],[Column5]]</f>
        <v>0</v>
      </c>
      <c r="G71" s="66">
        <f t="shared" si="3"/>
        <v>0</v>
      </c>
      <c r="H71" s="66">
        <f>SUM(Table3[[#This Row],[Column6]:[Column7]])</f>
        <v>0</v>
      </c>
    </row>
    <row r="72" spans="1:8" x14ac:dyDescent="0.25">
      <c r="A72">
        <f>A71+1</f>
        <v>23</v>
      </c>
      <c r="B72" s="67">
        <f>IF(AND(General!$K$28&gt;0,General!K62&gt;0),B118*AVERAGE(C118,D118),B118*C118)</f>
        <v>0</v>
      </c>
      <c r="C72" s="39">
        <f t="shared" si="1"/>
        <v>0</v>
      </c>
      <c r="D72" s="172">
        <f t="shared" si="2"/>
        <v>0</v>
      </c>
      <c r="E72" s="66">
        <f>SUM(Table3[[#This Row],[Column2]:[Column4]])</f>
        <v>0</v>
      </c>
      <c r="F72" s="66">
        <f>F71+Table3[[#This Row],[Column5]]</f>
        <v>0</v>
      </c>
      <c r="G72" s="66">
        <f t="shared" si="3"/>
        <v>0</v>
      </c>
      <c r="H72" s="66">
        <f>SUM(Table3[[#This Row],[Column6]:[Column7]])</f>
        <v>0</v>
      </c>
    </row>
    <row r="73" spans="1:8" x14ac:dyDescent="0.25">
      <c r="A73">
        <f t="shared" si="4"/>
        <v>24</v>
      </c>
      <c r="B73" s="67">
        <f>IF(AND(General!$K$28&gt;0,General!K63&gt;0),B119*AVERAGE(C119,D119),B119*C119)</f>
        <v>0</v>
      </c>
      <c r="C73" s="39">
        <f t="shared" si="1"/>
        <v>0</v>
      </c>
      <c r="D73" s="172">
        <f t="shared" si="2"/>
        <v>0</v>
      </c>
      <c r="E73" s="66">
        <f>SUM(Table3[[#This Row],[Column2]:[Column4]])</f>
        <v>0</v>
      </c>
      <c r="F73" s="66">
        <f>F72+Table3[[#This Row],[Column5]]</f>
        <v>0</v>
      </c>
      <c r="G73" s="66">
        <f t="shared" si="3"/>
        <v>0</v>
      </c>
      <c r="H73" s="66">
        <f>SUM(Table3[[#This Row],[Column6]:[Column7]])</f>
        <v>0</v>
      </c>
    </row>
    <row r="74" spans="1:8" x14ac:dyDescent="0.25">
      <c r="A74">
        <f t="shared" si="4"/>
        <v>25</v>
      </c>
      <c r="B74" s="67">
        <f>IF(AND(General!$K$28&gt;0,General!K64&gt;0),B120*AVERAGE(C120,D120),B120*C120)</f>
        <v>0</v>
      </c>
      <c r="C74" s="39">
        <f t="shared" si="1"/>
        <v>0</v>
      </c>
      <c r="D74" s="172">
        <f t="shared" si="2"/>
        <v>0</v>
      </c>
      <c r="E74" s="66">
        <f>SUM(Table3[[#This Row],[Column2]:[Column4]])</f>
        <v>0</v>
      </c>
      <c r="F74" s="66">
        <f>F73+Table3[[#This Row],[Column5]]</f>
        <v>0</v>
      </c>
      <c r="G74" s="66">
        <f t="shared" si="3"/>
        <v>0</v>
      </c>
      <c r="H74" s="66">
        <f>SUM(Table3[[#This Row],[Column6]:[Column7]])</f>
        <v>0</v>
      </c>
    </row>
    <row r="75" spans="1:8" x14ac:dyDescent="0.25">
      <c r="A75">
        <f t="shared" si="4"/>
        <v>26</v>
      </c>
      <c r="B75" s="67">
        <f>IF(AND(General!$K$28&gt;0,General!K65&gt;0),B121*AVERAGE(C121,D121),B121*C121)</f>
        <v>0</v>
      </c>
      <c r="C75" s="39">
        <f t="shared" si="1"/>
        <v>0</v>
      </c>
      <c r="D75" s="172">
        <f t="shared" si="2"/>
        <v>0</v>
      </c>
      <c r="E75" s="66">
        <f>SUM(Table3[[#This Row],[Column2]:[Column4]])</f>
        <v>0</v>
      </c>
      <c r="F75" s="66">
        <f>F74+Table3[[#This Row],[Column5]]</f>
        <v>0</v>
      </c>
      <c r="G75" s="66">
        <f t="shared" si="3"/>
        <v>0</v>
      </c>
      <c r="H75" s="66">
        <f>SUM(Table3[[#This Row],[Column6]:[Column7]])</f>
        <v>0</v>
      </c>
    </row>
    <row r="76" spans="1:8" x14ac:dyDescent="0.25">
      <c r="A76">
        <f t="shared" si="4"/>
        <v>27</v>
      </c>
      <c r="B76" s="67">
        <f>IF(AND(General!$K$28&gt;0,General!K66&gt;0),B122*AVERAGE(C122,D122),B122*C122)</f>
        <v>0</v>
      </c>
      <c r="C76" s="39">
        <f t="shared" si="1"/>
        <v>0</v>
      </c>
      <c r="D76" s="172">
        <f t="shared" si="2"/>
        <v>0</v>
      </c>
      <c r="E76" s="66">
        <f>SUM(Table3[[#This Row],[Column2]:[Column4]])</f>
        <v>0</v>
      </c>
      <c r="F76" s="66">
        <f>F75+Table3[[#This Row],[Column5]]</f>
        <v>0</v>
      </c>
      <c r="G76" s="66">
        <f t="shared" si="3"/>
        <v>0</v>
      </c>
      <c r="H76" s="66">
        <f>SUM(Table3[[#This Row],[Column6]:[Column7]])</f>
        <v>0</v>
      </c>
    </row>
    <row r="77" spans="1:8" x14ac:dyDescent="0.25">
      <c r="A77">
        <f t="shared" si="4"/>
        <v>28</v>
      </c>
      <c r="B77" s="67">
        <f>IF(AND(General!$K$28&gt;0,General!K67&gt;0),B123*AVERAGE(C123,D123),B123*C123)</f>
        <v>0</v>
      </c>
      <c r="C77" s="39">
        <f t="shared" si="1"/>
        <v>0</v>
      </c>
      <c r="D77" s="172">
        <f t="shared" si="2"/>
        <v>0</v>
      </c>
      <c r="E77" s="66">
        <f>SUM(Table3[[#This Row],[Column2]:[Column4]])</f>
        <v>0</v>
      </c>
      <c r="F77" s="66">
        <f>F76+Table3[[#This Row],[Column5]]</f>
        <v>0</v>
      </c>
      <c r="G77" s="66">
        <f t="shared" si="3"/>
        <v>0</v>
      </c>
      <c r="H77" s="66">
        <f>SUM(Table3[[#This Row],[Column6]:[Column7]])</f>
        <v>0</v>
      </c>
    </row>
    <row r="78" spans="1:8" x14ac:dyDescent="0.25">
      <c r="A78">
        <f>A77+1</f>
        <v>29</v>
      </c>
      <c r="B78" s="67">
        <f>IF(AND(General!$K$28&gt;0,General!K68&gt;0),B124*AVERAGE(C124,D124),B124*C124)</f>
        <v>0</v>
      </c>
      <c r="C78" s="39">
        <f t="shared" si="1"/>
        <v>0</v>
      </c>
      <c r="D78" s="172">
        <f t="shared" si="2"/>
        <v>0</v>
      </c>
      <c r="E78" s="66">
        <f>SUM(Table3[[#This Row],[Column2]:[Column4]])</f>
        <v>0</v>
      </c>
      <c r="F78" s="66">
        <f>F77+Table3[[#This Row],[Column5]]</f>
        <v>0</v>
      </c>
      <c r="G78" s="66">
        <f t="shared" si="3"/>
        <v>0</v>
      </c>
      <c r="H78" s="66">
        <f>SUM(Table3[[#This Row],[Column6]:[Column7]])</f>
        <v>0</v>
      </c>
    </row>
    <row r="79" spans="1:8" x14ac:dyDescent="0.25">
      <c r="A79">
        <f t="shared" si="4"/>
        <v>30</v>
      </c>
      <c r="B79" s="67">
        <f>IF(AND(General!$K$28&gt;0,General!K69&gt;0),B125*AVERAGE(C125,D125),B125*C125)</f>
        <v>0</v>
      </c>
      <c r="C79" s="39">
        <f t="shared" si="1"/>
        <v>0</v>
      </c>
      <c r="D79" s="172">
        <f t="shared" si="2"/>
        <v>0</v>
      </c>
      <c r="E79" s="66">
        <f>SUM(Table3[[#This Row],[Column2]:[Column4]])</f>
        <v>0</v>
      </c>
      <c r="F79" s="66">
        <f>F78+Table3[[#This Row],[Column5]]</f>
        <v>0</v>
      </c>
      <c r="G79" s="66">
        <f t="shared" si="3"/>
        <v>0</v>
      </c>
      <c r="H79" s="66">
        <f>SUM(Table3[[#This Row],[Column6]:[Column7]])</f>
        <v>0</v>
      </c>
    </row>
    <row r="80" spans="1:8" x14ac:dyDescent="0.25">
      <c r="B80" s="67"/>
      <c r="C80" s="67"/>
      <c r="D80" s="172"/>
      <c r="E80" s="66"/>
      <c r="F80" s="66"/>
      <c r="G80" s="66"/>
      <c r="H80" s="66"/>
    </row>
    <row r="81" spans="1:10" x14ac:dyDescent="0.25">
      <c r="B81" s="67"/>
      <c r="C81" s="67"/>
      <c r="D81" s="172"/>
      <c r="E81" s="66"/>
      <c r="F81" s="66"/>
      <c r="G81" s="66"/>
      <c r="H81" s="66"/>
    </row>
    <row r="82" spans="1:10" x14ac:dyDescent="0.25">
      <c r="B82" s="67"/>
      <c r="C82" s="67"/>
      <c r="D82" s="172"/>
      <c r="E82" s="66"/>
      <c r="F82" s="66"/>
      <c r="G82" s="66"/>
      <c r="H82" s="66"/>
    </row>
    <row r="83" spans="1:10" x14ac:dyDescent="0.25">
      <c r="A83" s="65" t="s">
        <v>90</v>
      </c>
      <c r="B83" s="67"/>
      <c r="C83" s="67"/>
      <c r="D83" s="67"/>
      <c r="E83" s="66"/>
      <c r="F83" s="66"/>
      <c r="G83" s="66"/>
      <c r="H83" s="66"/>
    </row>
    <row r="85" spans="1:10" ht="15" customHeight="1" x14ac:dyDescent="0.25">
      <c r="A85" t="s">
        <v>87</v>
      </c>
      <c r="B85" s="423" t="s">
        <v>143</v>
      </c>
      <c r="C85" s="423"/>
      <c r="D85" s="423"/>
      <c r="E85" s="423"/>
      <c r="F85" s="423"/>
      <c r="G85" s="423"/>
      <c r="H85" s="423"/>
    </row>
    <row r="86" spans="1:10" x14ac:dyDescent="0.25">
      <c r="B86" s="423"/>
      <c r="C86" s="423"/>
      <c r="D86" s="423"/>
      <c r="E86" s="423"/>
      <c r="F86" s="423"/>
      <c r="G86" s="423"/>
      <c r="H86" s="423"/>
    </row>
    <row r="87" spans="1:10" ht="14.25" customHeight="1" x14ac:dyDescent="0.25">
      <c r="B87" s="424" t="s">
        <v>88</v>
      </c>
      <c r="C87" s="425"/>
      <c r="D87" s="425"/>
      <c r="E87" s="425"/>
      <c r="F87" s="425"/>
      <c r="G87" s="425"/>
      <c r="H87" s="425"/>
    </row>
    <row r="88" spans="1:10" x14ac:dyDescent="0.25">
      <c r="B88" s="157"/>
      <c r="C88" s="157"/>
      <c r="D88" s="157"/>
      <c r="E88" s="157"/>
      <c r="F88" s="157"/>
      <c r="G88" s="157"/>
      <c r="H88" s="157"/>
    </row>
    <row r="89" spans="1:10" x14ac:dyDescent="0.25">
      <c r="B89" s="157"/>
      <c r="C89" s="157"/>
      <c r="D89" s="157"/>
      <c r="E89" s="157"/>
      <c r="F89" s="157"/>
      <c r="G89" s="157"/>
      <c r="H89" s="157"/>
    </row>
    <row r="91" spans="1:10" ht="15.75" thickBot="1" x14ac:dyDescent="0.3"/>
    <row r="92" spans="1:10" x14ac:dyDescent="0.25">
      <c r="A92" s="343" t="s">
        <v>137</v>
      </c>
      <c r="B92" s="344"/>
      <c r="C92" s="344"/>
      <c r="D92" s="344"/>
      <c r="E92" s="344"/>
      <c r="F92" s="344"/>
      <c r="G92" s="344"/>
      <c r="H92" s="36"/>
    </row>
    <row r="93" spans="1:10" x14ac:dyDescent="0.25">
      <c r="A93" s="12"/>
      <c r="B93" s="68"/>
      <c r="C93" s="60"/>
      <c r="D93" s="13"/>
      <c r="E93" s="13"/>
      <c r="F93" s="13"/>
      <c r="G93" s="13"/>
      <c r="H93" s="14"/>
    </row>
    <row r="94" spans="1:10" ht="51" x14ac:dyDescent="0.25">
      <c r="A94" s="69" t="s">
        <v>30</v>
      </c>
      <c r="B94" s="70" t="s">
        <v>178</v>
      </c>
      <c r="C94" s="70" t="s">
        <v>150</v>
      </c>
      <c r="D94" s="70" t="s">
        <v>151</v>
      </c>
      <c r="E94" s="71" t="s">
        <v>152</v>
      </c>
      <c r="F94" s="72" t="s">
        <v>89</v>
      </c>
      <c r="G94" s="70" t="s">
        <v>134</v>
      </c>
      <c r="H94" s="73" t="s">
        <v>177</v>
      </c>
      <c r="J94" s="13"/>
    </row>
    <row r="95" spans="1:10" ht="15" customHeight="1" x14ac:dyDescent="0.25">
      <c r="A95" s="12">
        <v>2019</v>
      </c>
      <c r="B95" s="31">
        <f t="shared" ref="B95:B125" si="5">$E$7</f>
        <v>0</v>
      </c>
      <c r="C95" s="207">
        <v>1</v>
      </c>
      <c r="D95" s="207">
        <v>1</v>
      </c>
      <c r="E95" s="24"/>
      <c r="F95" s="418" t="s">
        <v>125</v>
      </c>
      <c r="G95" s="13">
        <v>0.97099999999999997</v>
      </c>
      <c r="H95" s="204">
        <v>0.97099999999999997</v>
      </c>
      <c r="J95" s="170"/>
    </row>
    <row r="96" spans="1:10" x14ac:dyDescent="0.25">
      <c r="A96" s="12">
        <f>A95+1</f>
        <v>2020</v>
      </c>
      <c r="B96" s="31">
        <f t="shared" si="5"/>
        <v>0</v>
      </c>
      <c r="C96" s="59">
        <v>0.96</v>
      </c>
      <c r="D96" s="59">
        <v>1.01</v>
      </c>
      <c r="E96" s="24"/>
      <c r="F96" s="418"/>
      <c r="G96" s="13">
        <v>0.97099999999999997</v>
      </c>
      <c r="H96" s="204">
        <v>0.97099999999999997</v>
      </c>
      <c r="J96" s="170"/>
    </row>
    <row r="97" spans="1:10" x14ac:dyDescent="0.25">
      <c r="A97" s="12">
        <f t="shared" ref="A97:A125" si="6">A96+1</f>
        <v>2021</v>
      </c>
      <c r="B97" s="31">
        <f t="shared" si="5"/>
        <v>0</v>
      </c>
      <c r="C97" s="59">
        <v>0.93</v>
      </c>
      <c r="D97" s="59">
        <v>1.02</v>
      </c>
      <c r="E97" s="24"/>
      <c r="F97" s="418"/>
      <c r="G97" s="13">
        <v>0.94299999999999995</v>
      </c>
      <c r="H97" s="204">
        <v>1.913</v>
      </c>
      <c r="J97" s="170"/>
    </row>
    <row r="98" spans="1:10" x14ac:dyDescent="0.25">
      <c r="A98" s="12">
        <f t="shared" si="6"/>
        <v>2022</v>
      </c>
      <c r="B98" s="31">
        <f t="shared" si="5"/>
        <v>0</v>
      </c>
      <c r="C98" s="59">
        <v>0.94</v>
      </c>
      <c r="D98" s="59">
        <v>1.03</v>
      </c>
      <c r="E98" s="24"/>
      <c r="F98" s="418"/>
      <c r="G98" s="13">
        <v>0.91500000000000004</v>
      </c>
      <c r="H98" s="204">
        <v>2.8290000000000002</v>
      </c>
      <c r="J98" s="170"/>
    </row>
    <row r="99" spans="1:10" ht="17.25" customHeight="1" x14ac:dyDescent="0.25">
      <c r="A99" s="12">
        <f t="shared" si="6"/>
        <v>2023</v>
      </c>
      <c r="B99" s="31">
        <f t="shared" si="5"/>
        <v>0</v>
      </c>
      <c r="C99" s="59">
        <v>0.95</v>
      </c>
      <c r="D99" s="59">
        <v>1.05</v>
      </c>
      <c r="E99" s="24"/>
      <c r="F99" s="418"/>
      <c r="G99" s="59">
        <v>0.88800000000000001</v>
      </c>
      <c r="H99" s="204">
        <v>3.7170000000000001</v>
      </c>
      <c r="J99" s="170"/>
    </row>
    <row r="100" spans="1:10" ht="14.25" customHeight="1" x14ac:dyDescent="0.25">
      <c r="A100" s="12">
        <f t="shared" si="6"/>
        <v>2024</v>
      </c>
      <c r="B100" s="31">
        <f t="shared" si="5"/>
        <v>0</v>
      </c>
      <c r="C100" s="59">
        <v>0.96</v>
      </c>
      <c r="D100" s="59">
        <v>1.06</v>
      </c>
      <c r="E100" s="24"/>
      <c r="F100" s="418"/>
      <c r="G100" s="59">
        <v>0.86299999999999999</v>
      </c>
      <c r="H100" s="204">
        <v>4.58</v>
      </c>
      <c r="J100" s="170"/>
    </row>
    <row r="101" spans="1:10" x14ac:dyDescent="0.25">
      <c r="A101" s="12">
        <f t="shared" si="6"/>
        <v>2025</v>
      </c>
      <c r="B101" s="31">
        <f t="shared" si="5"/>
        <v>0</v>
      </c>
      <c r="C101" s="59">
        <v>0.98</v>
      </c>
      <c r="D101" s="59">
        <v>1.0900000000000001</v>
      </c>
      <c r="E101" s="24"/>
      <c r="F101" s="196"/>
      <c r="G101" s="59">
        <v>0.83699999999999997</v>
      </c>
      <c r="H101" s="204">
        <v>5.4169999999999998</v>
      </c>
      <c r="J101" s="170"/>
    </row>
    <row r="102" spans="1:10" ht="14.25" customHeight="1" x14ac:dyDescent="0.25">
      <c r="A102" s="12">
        <f t="shared" si="6"/>
        <v>2026</v>
      </c>
      <c r="B102" s="31">
        <f t="shared" si="5"/>
        <v>0</v>
      </c>
      <c r="C102" s="171">
        <v>1</v>
      </c>
      <c r="D102" s="171">
        <v>1.1000000000000001</v>
      </c>
      <c r="E102" s="24"/>
      <c r="F102" s="418" t="s">
        <v>124</v>
      </c>
      <c r="G102" s="59">
        <v>0.81299999999999994</v>
      </c>
      <c r="H102" s="204">
        <v>6.23</v>
      </c>
      <c r="J102" s="170"/>
    </row>
    <row r="103" spans="1:10" x14ac:dyDescent="0.25">
      <c r="A103" s="12">
        <f t="shared" si="6"/>
        <v>2027</v>
      </c>
      <c r="B103" s="31">
        <f t="shared" si="5"/>
        <v>0</v>
      </c>
      <c r="C103" s="171">
        <v>1</v>
      </c>
      <c r="D103" s="59">
        <v>1.1100000000000001</v>
      </c>
      <c r="E103" s="24"/>
      <c r="F103" s="418"/>
      <c r="G103" s="59">
        <v>0.78900000000000003</v>
      </c>
      <c r="H103" s="204">
        <v>1.02</v>
      </c>
      <c r="J103" s="170"/>
    </row>
    <row r="104" spans="1:10" ht="15" customHeight="1" x14ac:dyDescent="0.25">
      <c r="A104" s="12">
        <f t="shared" si="6"/>
        <v>2028</v>
      </c>
      <c r="B104" s="31">
        <f t="shared" si="5"/>
        <v>0</v>
      </c>
      <c r="C104" s="171">
        <v>1</v>
      </c>
      <c r="D104" s="59">
        <v>1.1200000000000001</v>
      </c>
      <c r="E104" s="24"/>
      <c r="F104" s="418"/>
      <c r="G104" s="59">
        <v>0.76600000000000001</v>
      </c>
      <c r="H104" s="204">
        <v>7.7859999999999996</v>
      </c>
      <c r="J104" s="173"/>
    </row>
    <row r="105" spans="1:10" x14ac:dyDescent="0.25">
      <c r="A105" s="12">
        <f t="shared" si="6"/>
        <v>2029</v>
      </c>
      <c r="B105" s="31">
        <f t="shared" si="5"/>
        <v>0</v>
      </c>
      <c r="C105" s="171">
        <v>1</v>
      </c>
      <c r="D105" s="59">
        <v>1.23</v>
      </c>
      <c r="E105" s="24"/>
      <c r="F105" s="418"/>
      <c r="G105" s="59">
        <v>0.74399999999999999</v>
      </c>
      <c r="H105" s="205">
        <v>8.5299999999999994</v>
      </c>
      <c r="J105" s="173"/>
    </row>
    <row r="106" spans="1:10" x14ac:dyDescent="0.25">
      <c r="A106" s="12">
        <f t="shared" si="6"/>
        <v>2030</v>
      </c>
      <c r="B106" s="31">
        <f t="shared" si="5"/>
        <v>0</v>
      </c>
      <c r="C106" s="59">
        <v>1.01</v>
      </c>
      <c r="D106" s="59">
        <v>1.27</v>
      </c>
      <c r="E106" s="24"/>
      <c r="F106" s="418"/>
      <c r="G106" s="59">
        <v>0.72199999999999998</v>
      </c>
      <c r="H106" s="205">
        <v>9.2530000000000001</v>
      </c>
      <c r="J106" s="173"/>
    </row>
    <row r="107" spans="1:10" ht="15" customHeight="1" x14ac:dyDescent="0.25">
      <c r="A107" s="12">
        <f t="shared" si="6"/>
        <v>2031</v>
      </c>
      <c r="B107" s="31">
        <f t="shared" si="5"/>
        <v>0</v>
      </c>
      <c r="C107" s="59">
        <v>1.02</v>
      </c>
      <c r="D107" s="59">
        <v>1.29</v>
      </c>
      <c r="E107" s="24"/>
      <c r="F107" s="418"/>
      <c r="G107" s="59">
        <v>0.70099999999999996</v>
      </c>
      <c r="H107" s="205">
        <v>9.9540000000000006</v>
      </c>
      <c r="J107" s="173"/>
    </row>
    <row r="108" spans="1:10" x14ac:dyDescent="0.25">
      <c r="A108" s="12">
        <f t="shared" si="6"/>
        <v>2032</v>
      </c>
      <c r="B108" s="31">
        <f t="shared" si="5"/>
        <v>0</v>
      </c>
      <c r="C108" s="59">
        <v>1.02</v>
      </c>
      <c r="D108" s="171">
        <v>1.3</v>
      </c>
      <c r="E108" s="24"/>
      <c r="F108" s="418"/>
      <c r="G108" s="59">
        <v>0.68100000000000005</v>
      </c>
      <c r="H108" s="205">
        <v>10.635</v>
      </c>
      <c r="J108" s="173"/>
    </row>
    <row r="109" spans="1:10" x14ac:dyDescent="0.25">
      <c r="A109" s="12">
        <f t="shared" si="6"/>
        <v>2033</v>
      </c>
      <c r="B109" s="31">
        <f t="shared" si="5"/>
        <v>0</v>
      </c>
      <c r="C109" s="59">
        <v>1.03</v>
      </c>
      <c r="D109" s="59">
        <v>1.31</v>
      </c>
      <c r="E109" s="24"/>
      <c r="F109" s="418"/>
      <c r="G109" s="59">
        <v>0.66100000000000003</v>
      </c>
      <c r="H109" s="205">
        <v>11.295999999999999</v>
      </c>
      <c r="J109" s="173"/>
    </row>
    <row r="110" spans="1:10" x14ac:dyDescent="0.25">
      <c r="A110" s="12">
        <f t="shared" si="6"/>
        <v>2034</v>
      </c>
      <c r="B110" s="31">
        <f t="shared" si="5"/>
        <v>0</v>
      </c>
      <c r="C110" s="59">
        <v>1.02</v>
      </c>
      <c r="D110" s="59">
        <v>1.32</v>
      </c>
      <c r="E110" s="24"/>
      <c r="F110" s="418"/>
      <c r="G110" s="59">
        <v>0.64200000000000002</v>
      </c>
      <c r="H110" s="205">
        <v>11.938000000000001</v>
      </c>
      <c r="J110" s="173"/>
    </row>
    <row r="111" spans="1:10" x14ac:dyDescent="0.25">
      <c r="A111" s="12">
        <f t="shared" si="6"/>
        <v>2035</v>
      </c>
      <c r="B111" s="31">
        <f t="shared" si="5"/>
        <v>0</v>
      </c>
      <c r="C111" s="59">
        <v>1.02</v>
      </c>
      <c r="D111" s="59">
        <v>1.33</v>
      </c>
      <c r="E111" s="24"/>
      <c r="F111" s="418"/>
      <c r="G111" s="59">
        <v>0.623</v>
      </c>
      <c r="H111" s="205">
        <v>12.561</v>
      </c>
      <c r="J111" s="173"/>
    </row>
    <row r="112" spans="1:10" x14ac:dyDescent="0.25">
      <c r="A112" s="12">
        <f t="shared" si="6"/>
        <v>2036</v>
      </c>
      <c r="B112" s="31">
        <f t="shared" si="5"/>
        <v>0</v>
      </c>
      <c r="C112" s="59">
        <v>1.03</v>
      </c>
      <c r="D112" s="59">
        <v>1.34</v>
      </c>
      <c r="E112" s="24"/>
      <c r="F112" s="13"/>
      <c r="G112" s="59">
        <v>0.60499999999999998</v>
      </c>
      <c r="H112" s="205">
        <v>13.166</v>
      </c>
      <c r="J112" s="173"/>
    </row>
    <row r="113" spans="1:10" x14ac:dyDescent="0.25">
      <c r="A113" s="12">
        <f t="shared" si="6"/>
        <v>2037</v>
      </c>
      <c r="B113" s="31">
        <f t="shared" si="5"/>
        <v>0</v>
      </c>
      <c r="C113" s="59">
        <v>1.03</v>
      </c>
      <c r="D113" s="59">
        <v>1.34</v>
      </c>
      <c r="E113" s="24"/>
      <c r="F113" s="13"/>
      <c r="G113" s="59">
        <v>0.58699999999999997</v>
      </c>
      <c r="H113" s="205">
        <v>13.754</v>
      </c>
      <c r="J113" s="173"/>
    </row>
    <row r="114" spans="1:10" x14ac:dyDescent="0.25">
      <c r="A114" s="12">
        <f t="shared" si="6"/>
        <v>2038</v>
      </c>
      <c r="B114" s="31">
        <f t="shared" si="5"/>
        <v>0</v>
      </c>
      <c r="C114" s="59">
        <v>1.03</v>
      </c>
      <c r="D114" s="59">
        <v>1.35</v>
      </c>
      <c r="E114" s="24"/>
      <c r="F114" s="13"/>
      <c r="G114" s="170">
        <v>0.56999999999999995</v>
      </c>
      <c r="H114" s="205">
        <v>14.324</v>
      </c>
      <c r="J114" s="173"/>
    </row>
    <row r="115" spans="1:10" x14ac:dyDescent="0.25">
      <c r="A115" s="12">
        <f t="shared" si="6"/>
        <v>2039</v>
      </c>
      <c r="B115" s="31">
        <f t="shared" si="5"/>
        <v>0</v>
      </c>
      <c r="C115" s="59">
        <v>1.02</v>
      </c>
      <c r="D115" s="59">
        <v>1.35</v>
      </c>
      <c r="E115" s="24"/>
      <c r="F115" s="13"/>
      <c r="G115" s="59">
        <v>0.55400000000000005</v>
      </c>
      <c r="H115" s="205">
        <v>14.877000000000001</v>
      </c>
      <c r="J115" s="173"/>
    </row>
    <row r="116" spans="1:10" x14ac:dyDescent="0.25">
      <c r="A116" s="12">
        <f t="shared" si="6"/>
        <v>2040</v>
      </c>
      <c r="B116" s="31">
        <f t="shared" si="5"/>
        <v>0</v>
      </c>
      <c r="C116" s="59">
        <v>1.02</v>
      </c>
      <c r="D116" s="59">
        <v>1.36</v>
      </c>
      <c r="E116" s="24"/>
      <c r="F116" s="13"/>
      <c r="G116" s="59">
        <v>0.53800000000000003</v>
      </c>
      <c r="H116" s="205">
        <v>15.414999999999999</v>
      </c>
      <c r="J116" s="173"/>
    </row>
    <row r="117" spans="1:10" x14ac:dyDescent="0.25">
      <c r="A117" s="12">
        <f t="shared" si="6"/>
        <v>2041</v>
      </c>
      <c r="B117" s="31">
        <f t="shared" si="5"/>
        <v>0</v>
      </c>
      <c r="C117" s="59">
        <v>1.02</v>
      </c>
      <c r="D117" s="59">
        <v>1.36</v>
      </c>
      <c r="E117" s="24"/>
      <c r="F117" s="13"/>
      <c r="G117" s="59">
        <v>0.52200000000000002</v>
      </c>
      <c r="H117" s="205">
        <v>15.936999999999999</v>
      </c>
      <c r="J117" s="173"/>
    </row>
    <row r="118" spans="1:10" x14ac:dyDescent="0.25">
      <c r="A118" s="12">
        <f t="shared" si="6"/>
        <v>2042</v>
      </c>
      <c r="B118" s="31">
        <f t="shared" si="5"/>
        <v>0</v>
      </c>
      <c r="C118" s="59">
        <v>1.01</v>
      </c>
      <c r="D118" s="59">
        <v>1.37</v>
      </c>
      <c r="E118" s="24"/>
      <c r="F118" s="13"/>
      <c r="G118" s="59">
        <v>0.50700000000000001</v>
      </c>
      <c r="H118" s="205">
        <v>16.443999999999999</v>
      </c>
      <c r="J118" s="173"/>
    </row>
    <row r="119" spans="1:10" x14ac:dyDescent="0.25">
      <c r="A119" s="12">
        <f>A118+1</f>
        <v>2043</v>
      </c>
      <c r="B119" s="31">
        <f t="shared" si="5"/>
        <v>0</v>
      </c>
      <c r="C119" s="59">
        <v>1.01</v>
      </c>
      <c r="D119" s="59">
        <v>1.38</v>
      </c>
      <c r="E119" s="24"/>
      <c r="F119" s="13"/>
      <c r="G119" s="59">
        <v>0.49199999999999999</v>
      </c>
      <c r="H119" s="205">
        <v>16.936</v>
      </c>
      <c r="J119" s="173"/>
    </row>
    <row r="120" spans="1:10" x14ac:dyDescent="0.25">
      <c r="A120" s="12">
        <f t="shared" si="6"/>
        <v>2044</v>
      </c>
      <c r="B120" s="31">
        <f t="shared" si="5"/>
        <v>0</v>
      </c>
      <c r="C120" s="171">
        <v>1</v>
      </c>
      <c r="D120" s="59">
        <v>1.39</v>
      </c>
      <c r="E120" s="24"/>
      <c r="F120" s="13"/>
      <c r="G120" s="59">
        <v>0.47799999999999998</v>
      </c>
      <c r="H120" s="205">
        <v>17.413</v>
      </c>
      <c r="J120" s="173"/>
    </row>
    <row r="121" spans="1:10" x14ac:dyDescent="0.25">
      <c r="A121" s="12">
        <f t="shared" si="6"/>
        <v>2045</v>
      </c>
      <c r="B121" s="31">
        <f t="shared" si="5"/>
        <v>0</v>
      </c>
      <c r="C121" s="171">
        <v>1</v>
      </c>
      <c r="D121" s="171">
        <v>1.4</v>
      </c>
      <c r="E121" s="24"/>
      <c r="F121" s="13"/>
      <c r="G121" s="59">
        <v>0.46400000000000002</v>
      </c>
      <c r="H121" s="205">
        <v>17.876999999999999</v>
      </c>
      <c r="J121" s="173"/>
    </row>
    <row r="122" spans="1:10" x14ac:dyDescent="0.25">
      <c r="A122" s="12">
        <f t="shared" si="6"/>
        <v>2046</v>
      </c>
      <c r="B122" s="31">
        <f t="shared" si="5"/>
        <v>0</v>
      </c>
      <c r="C122" s="171">
        <v>1</v>
      </c>
      <c r="D122" s="59">
        <v>1.41</v>
      </c>
      <c r="E122" s="24"/>
      <c r="F122" s="13"/>
      <c r="G122" s="170">
        <v>0.45</v>
      </c>
      <c r="H122" s="205">
        <v>18.327000000000002</v>
      </c>
      <c r="J122" s="173"/>
    </row>
    <row r="123" spans="1:10" x14ac:dyDescent="0.25">
      <c r="A123" s="12">
        <f t="shared" si="6"/>
        <v>2047</v>
      </c>
      <c r="B123" s="31">
        <f t="shared" si="5"/>
        <v>0</v>
      </c>
      <c r="C123" s="171">
        <v>1</v>
      </c>
      <c r="D123" s="59">
        <v>1.42</v>
      </c>
      <c r="E123" s="24"/>
      <c r="F123" s="13"/>
      <c r="G123" s="59">
        <v>0.437</v>
      </c>
      <c r="H123" s="205">
        <v>18.763999999999999</v>
      </c>
      <c r="J123" s="173"/>
    </row>
    <row r="124" spans="1:10" x14ac:dyDescent="0.25">
      <c r="A124" s="12">
        <f t="shared" si="6"/>
        <v>2048</v>
      </c>
      <c r="B124" s="31">
        <f t="shared" si="5"/>
        <v>0</v>
      </c>
      <c r="C124" s="171">
        <v>1</v>
      </c>
      <c r="D124" s="59">
        <v>1.43</v>
      </c>
      <c r="E124" s="24"/>
      <c r="F124" s="13"/>
      <c r="G124" s="59">
        <v>0.42399999999999999</v>
      </c>
      <c r="H124" s="205">
        <v>19.187999999999999</v>
      </c>
      <c r="J124" s="208"/>
    </row>
    <row r="125" spans="1:10" x14ac:dyDescent="0.25">
      <c r="A125" s="12">
        <f t="shared" si="6"/>
        <v>2049</v>
      </c>
      <c r="B125" s="31">
        <f t="shared" si="5"/>
        <v>0</v>
      </c>
      <c r="C125" s="13">
        <v>0.99</v>
      </c>
      <c r="D125" s="59">
        <v>1.45</v>
      </c>
      <c r="E125" s="24"/>
      <c r="F125" s="13"/>
      <c r="G125" s="59">
        <v>0.41199999999999998</v>
      </c>
      <c r="H125" s="206">
        <v>19.600000000000001</v>
      </c>
      <c r="J125" s="173"/>
    </row>
    <row r="126" spans="1:10" x14ac:dyDescent="0.25">
      <c r="A126" s="12"/>
      <c r="B126" s="31"/>
      <c r="C126" s="13"/>
      <c r="D126" s="13"/>
      <c r="E126" s="45"/>
      <c r="F126" s="13"/>
      <c r="G126" s="13"/>
      <c r="H126" s="62"/>
    </row>
    <row r="127" spans="1:10" x14ac:dyDescent="0.25">
      <c r="A127" s="12"/>
      <c r="B127" s="31"/>
      <c r="C127" s="13"/>
      <c r="D127" s="13"/>
      <c r="E127" s="45"/>
      <c r="F127" s="13"/>
      <c r="G127" s="13"/>
      <c r="H127" s="62"/>
    </row>
    <row r="128" spans="1:10" x14ac:dyDescent="0.25">
      <c r="A128" s="12"/>
      <c r="B128" s="31"/>
      <c r="C128" s="13"/>
      <c r="D128" s="13"/>
      <c r="E128" s="45"/>
      <c r="F128" s="13"/>
      <c r="G128" s="13"/>
      <c r="H128" s="62"/>
    </row>
    <row r="129" spans="1:9" x14ac:dyDescent="0.25">
      <c r="A129" s="12"/>
      <c r="B129" s="31"/>
      <c r="C129" s="13"/>
      <c r="D129" s="13"/>
      <c r="E129" s="45"/>
      <c r="F129" s="13"/>
      <c r="G129" s="13"/>
      <c r="H129" s="62"/>
    </row>
    <row r="130" spans="1:9" ht="15" customHeight="1" x14ac:dyDescent="0.25">
      <c r="A130" s="374" t="s">
        <v>149</v>
      </c>
      <c r="B130" s="374"/>
      <c r="C130" s="374"/>
      <c r="D130" s="374"/>
      <c r="E130" s="374"/>
      <c r="F130" s="374"/>
      <c r="G130" s="374"/>
      <c r="H130" s="169"/>
    </row>
    <row r="131" spans="1:9" x14ac:dyDescent="0.25">
      <c r="A131" s="374"/>
      <c r="B131" s="374"/>
      <c r="C131" s="374"/>
      <c r="D131" s="374"/>
      <c r="E131" s="374"/>
      <c r="F131" s="374"/>
      <c r="G131" s="374"/>
      <c r="H131" s="169"/>
    </row>
    <row r="132" spans="1:9" ht="15.75" thickBot="1" x14ac:dyDescent="0.3">
      <c r="A132" s="417"/>
      <c r="B132" s="417"/>
      <c r="C132" s="417"/>
      <c r="D132" s="417"/>
      <c r="E132" s="417"/>
      <c r="F132" s="417"/>
      <c r="G132" s="417"/>
      <c r="H132" s="21"/>
    </row>
    <row r="134" spans="1:9" x14ac:dyDescent="0.25">
      <c r="A134" s="167"/>
      <c r="B134" s="167"/>
      <c r="C134" s="167"/>
      <c r="D134" s="167"/>
      <c r="E134" s="167"/>
      <c r="F134" s="59"/>
      <c r="G134" s="59"/>
      <c r="H134" s="59"/>
      <c r="I134" s="59"/>
    </row>
    <row r="135" spans="1:9" x14ac:dyDescent="0.25">
      <c r="A135" s="59"/>
      <c r="B135" s="59"/>
      <c r="C135" s="59"/>
      <c r="D135" s="59"/>
      <c r="E135" s="59"/>
      <c r="F135" s="59"/>
      <c r="G135" s="59"/>
      <c r="H135" s="59"/>
      <c r="I135" s="59"/>
    </row>
    <row r="136" spans="1:9" ht="15" customHeight="1" x14ac:dyDescent="0.25">
      <c r="A136" s="166"/>
      <c r="B136" s="166"/>
      <c r="C136" s="166"/>
      <c r="D136" s="166"/>
      <c r="E136" s="166"/>
      <c r="F136" s="166"/>
      <c r="G136" s="166"/>
      <c r="H136" s="166"/>
      <c r="I136" s="59"/>
    </row>
    <row r="137" spans="1:9" x14ac:dyDescent="0.25">
      <c r="A137" s="59"/>
      <c r="B137" s="45"/>
      <c r="C137" s="45"/>
      <c r="D137" s="45"/>
      <c r="E137" s="45"/>
      <c r="F137" s="45"/>
      <c r="G137" s="45"/>
      <c r="H137" s="45"/>
      <c r="I137" s="59"/>
    </row>
    <row r="138" spans="1:9" x14ac:dyDescent="0.25">
      <c r="A138" s="59"/>
      <c r="B138" s="45"/>
      <c r="C138" s="45"/>
      <c r="D138" s="45"/>
      <c r="E138" s="45"/>
      <c r="F138" s="45"/>
      <c r="G138" s="45"/>
      <c r="H138" s="45"/>
      <c r="I138" s="59"/>
    </row>
    <row r="139" spans="1:9" x14ac:dyDescent="0.25">
      <c r="A139" s="59"/>
      <c r="B139" s="45"/>
      <c r="C139" s="45"/>
      <c r="D139" s="45"/>
      <c r="E139" s="45"/>
      <c r="F139" s="45"/>
      <c r="G139" s="45"/>
      <c r="H139" s="45"/>
      <c r="I139" s="59"/>
    </row>
    <row r="140" spans="1:9" x14ac:dyDescent="0.25">
      <c r="A140" s="59"/>
      <c r="B140" s="45"/>
      <c r="C140" s="45"/>
      <c r="D140" s="45"/>
      <c r="E140" s="45"/>
      <c r="F140" s="45"/>
      <c r="G140" s="45"/>
      <c r="H140" s="45"/>
      <c r="I140" s="59"/>
    </row>
    <row r="141" spans="1:9" x14ac:dyDescent="0.25">
      <c r="A141" s="59"/>
      <c r="B141" s="45"/>
      <c r="C141" s="45"/>
      <c r="D141" s="45"/>
      <c r="E141" s="45"/>
      <c r="F141" s="45"/>
      <c r="G141" s="45"/>
      <c r="H141" s="45"/>
      <c r="I141" s="59"/>
    </row>
    <row r="142" spans="1:9" x14ac:dyDescent="0.25">
      <c r="A142" s="59"/>
      <c r="B142" s="45"/>
      <c r="C142" s="45"/>
      <c r="D142" s="45"/>
      <c r="E142" s="45"/>
      <c r="F142" s="45"/>
      <c r="G142" s="45"/>
      <c r="H142" s="45"/>
      <c r="I142" s="59"/>
    </row>
    <row r="143" spans="1:9" x14ac:dyDescent="0.25">
      <c r="A143" s="59"/>
      <c r="B143" s="45"/>
      <c r="C143" s="45"/>
      <c r="D143" s="45"/>
      <c r="E143" s="45"/>
      <c r="F143" s="45"/>
      <c r="G143" s="45"/>
      <c r="H143" s="45"/>
      <c r="I143" s="59"/>
    </row>
    <row r="144" spans="1:9" x14ac:dyDescent="0.25">
      <c r="A144" s="59"/>
      <c r="B144" s="45"/>
      <c r="C144" s="45"/>
      <c r="D144" s="45"/>
      <c r="E144" s="45"/>
      <c r="F144" s="45"/>
      <c r="G144" s="45"/>
      <c r="H144" s="45"/>
      <c r="I144" s="59"/>
    </row>
    <row r="145" spans="1:9" x14ac:dyDescent="0.25">
      <c r="A145" s="59"/>
      <c r="B145" s="45"/>
      <c r="C145" s="45"/>
      <c r="D145" s="45"/>
      <c r="E145" s="45"/>
      <c r="F145" s="45"/>
      <c r="G145" s="45"/>
      <c r="H145" s="45"/>
      <c r="I145" s="59"/>
    </row>
    <row r="146" spans="1:9" x14ac:dyDescent="0.25">
      <c r="A146" s="59"/>
      <c r="B146" s="45"/>
      <c r="C146" s="45"/>
      <c r="D146" s="45"/>
      <c r="E146" s="45"/>
      <c r="F146" s="45"/>
      <c r="G146" s="45"/>
      <c r="H146" s="45"/>
      <c r="I146" s="59"/>
    </row>
    <row r="147" spans="1:9" x14ac:dyDescent="0.25">
      <c r="A147" s="59"/>
      <c r="B147" s="45"/>
      <c r="C147" s="45"/>
      <c r="D147" s="45"/>
      <c r="E147" s="45"/>
      <c r="F147" s="45"/>
      <c r="G147" s="45"/>
      <c r="H147" s="45"/>
      <c r="I147" s="59"/>
    </row>
    <row r="148" spans="1:9" x14ac:dyDescent="0.25">
      <c r="A148" s="59"/>
      <c r="B148" s="59"/>
      <c r="C148" s="59"/>
      <c r="D148" s="59"/>
      <c r="E148" s="59"/>
      <c r="F148" s="59"/>
      <c r="G148" s="59"/>
      <c r="H148" s="59"/>
      <c r="I148" s="59"/>
    </row>
    <row r="149" spans="1:9" x14ac:dyDescent="0.25">
      <c r="A149" s="59"/>
      <c r="B149" s="59"/>
      <c r="C149" s="59"/>
      <c r="D149" s="59"/>
      <c r="E149" s="59"/>
      <c r="F149" s="59"/>
      <c r="G149" s="59"/>
      <c r="H149" s="59"/>
      <c r="I149" s="59"/>
    </row>
    <row r="178" spans="1:8" x14ac:dyDescent="0.25">
      <c r="A178" s="167"/>
      <c r="B178" s="167"/>
      <c r="C178" s="167"/>
      <c r="D178" s="167"/>
      <c r="E178" s="59"/>
      <c r="F178" s="59"/>
      <c r="G178" s="59"/>
      <c r="H178" s="59"/>
    </row>
    <row r="179" spans="1:8" ht="17.25" customHeight="1" x14ac:dyDescent="0.25">
      <c r="A179" s="59"/>
      <c r="B179" s="59"/>
      <c r="C179" s="59"/>
      <c r="D179" s="59"/>
      <c r="E179" s="59"/>
      <c r="F179" s="59"/>
      <c r="G179" s="59"/>
      <c r="H179" s="59"/>
    </row>
    <row r="180" spans="1:8" x14ac:dyDescent="0.25">
      <c r="A180" s="166"/>
      <c r="B180" s="166"/>
      <c r="C180" s="166"/>
      <c r="D180" s="166"/>
      <c r="E180" s="166"/>
      <c r="F180" s="166"/>
      <c r="G180" s="166"/>
      <c r="H180" s="166"/>
    </row>
    <row r="181" spans="1:8" x14ac:dyDescent="0.25">
      <c r="A181" s="59"/>
      <c r="B181" s="45"/>
      <c r="C181" s="45"/>
      <c r="D181" s="45"/>
      <c r="E181" s="45"/>
      <c r="F181" s="45"/>
      <c r="G181" s="45"/>
      <c r="H181" s="45"/>
    </row>
    <row r="182" spans="1:8" x14ac:dyDescent="0.25">
      <c r="A182" s="59"/>
      <c r="B182" s="45"/>
      <c r="C182" s="45"/>
      <c r="D182" s="45"/>
      <c r="E182" s="45"/>
      <c r="F182" s="156"/>
      <c r="G182" s="45"/>
      <c r="H182" s="45"/>
    </row>
    <row r="183" spans="1:8" x14ac:dyDescent="0.25">
      <c r="A183" s="59"/>
      <c r="B183" s="45"/>
      <c r="C183" s="45"/>
      <c r="D183" s="45"/>
      <c r="E183" s="45"/>
      <c r="F183" s="156"/>
      <c r="G183" s="45"/>
      <c r="H183" s="45"/>
    </row>
    <row r="184" spans="1:8" x14ac:dyDescent="0.25">
      <c r="A184" s="59"/>
      <c r="B184" s="45"/>
      <c r="C184" s="45"/>
      <c r="D184" s="45"/>
      <c r="E184" s="45"/>
      <c r="F184" s="156"/>
      <c r="G184" s="45"/>
      <c r="H184" s="45"/>
    </row>
    <row r="185" spans="1:8" x14ac:dyDescent="0.25">
      <c r="A185" s="59"/>
      <c r="B185" s="45"/>
      <c r="C185" s="45"/>
      <c r="D185" s="45"/>
      <c r="E185" s="45"/>
      <c r="F185" s="156"/>
      <c r="G185" s="45"/>
      <c r="H185" s="45"/>
    </row>
    <row r="186" spans="1:8" x14ac:dyDescent="0.25">
      <c r="A186" s="59"/>
      <c r="B186" s="45"/>
      <c r="C186" s="45"/>
      <c r="D186" s="45"/>
      <c r="E186" s="45"/>
      <c r="F186" s="156"/>
      <c r="G186" s="45"/>
      <c r="H186" s="45"/>
    </row>
    <row r="187" spans="1:8" x14ac:dyDescent="0.25">
      <c r="A187" s="59"/>
      <c r="B187" s="45"/>
      <c r="C187" s="45"/>
      <c r="D187" s="45"/>
      <c r="E187" s="45"/>
      <c r="F187" s="156"/>
      <c r="G187" s="45"/>
      <c r="H187" s="45"/>
    </row>
    <row r="188" spans="1:8" x14ac:dyDescent="0.25">
      <c r="A188" s="59"/>
      <c r="B188" s="45"/>
      <c r="C188" s="45"/>
      <c r="D188" s="45"/>
      <c r="E188" s="45"/>
      <c r="F188" s="156"/>
      <c r="G188" s="45"/>
      <c r="H188" s="45"/>
    </row>
    <row r="189" spans="1:8" x14ac:dyDescent="0.25">
      <c r="A189" s="59"/>
      <c r="B189" s="45"/>
      <c r="C189" s="45"/>
      <c r="D189" s="45"/>
      <c r="E189" s="45"/>
      <c r="F189" s="156"/>
      <c r="G189" s="45"/>
      <c r="H189" s="45"/>
    </row>
    <row r="190" spans="1:8" x14ac:dyDescent="0.25">
      <c r="A190" s="59"/>
      <c r="B190" s="45"/>
      <c r="C190" s="45"/>
      <c r="D190" s="45"/>
      <c r="E190" s="45"/>
      <c r="F190" s="156"/>
      <c r="G190" s="45"/>
      <c r="H190" s="45"/>
    </row>
    <row r="191" spans="1:8" x14ac:dyDescent="0.25">
      <c r="A191" s="59"/>
      <c r="B191" s="45"/>
      <c r="C191" s="45"/>
      <c r="D191" s="45"/>
      <c r="E191" s="45"/>
      <c r="F191" s="156"/>
      <c r="G191" s="45"/>
      <c r="H191" s="45"/>
    </row>
    <row r="192" spans="1:8" x14ac:dyDescent="0.25">
      <c r="A192" s="59"/>
      <c r="B192" s="45"/>
      <c r="C192" s="45"/>
      <c r="D192" s="45"/>
      <c r="E192" s="45"/>
      <c r="F192" s="156"/>
      <c r="G192" s="45"/>
      <c r="H192" s="45"/>
    </row>
    <row r="193" spans="1:8" x14ac:dyDescent="0.25">
      <c r="A193" s="59"/>
      <c r="B193" s="45"/>
      <c r="C193" s="45"/>
      <c r="D193" s="45"/>
      <c r="E193" s="45"/>
      <c r="F193" s="156"/>
      <c r="G193" s="45"/>
      <c r="H193" s="45"/>
    </row>
    <row r="194" spans="1:8" x14ac:dyDescent="0.25">
      <c r="A194" s="59"/>
      <c r="B194" s="45"/>
      <c r="C194" s="45"/>
      <c r="D194" s="45"/>
      <c r="E194" s="45"/>
      <c r="F194" s="156"/>
      <c r="G194" s="45"/>
      <c r="H194" s="45"/>
    </row>
    <row r="195" spans="1:8" x14ac:dyDescent="0.25">
      <c r="A195" s="59"/>
      <c r="B195" s="45"/>
      <c r="C195" s="45"/>
      <c r="D195" s="45"/>
      <c r="E195" s="45"/>
      <c r="F195" s="156"/>
      <c r="G195" s="45"/>
      <c r="H195" s="45"/>
    </row>
    <row r="196" spans="1:8" x14ac:dyDescent="0.25">
      <c r="A196" s="59"/>
      <c r="B196" s="45"/>
      <c r="C196" s="45"/>
      <c r="D196" s="45"/>
      <c r="E196" s="45"/>
      <c r="F196" s="156"/>
      <c r="G196" s="45"/>
      <c r="H196" s="45"/>
    </row>
    <row r="197" spans="1:8" x14ac:dyDescent="0.25">
      <c r="A197" s="59"/>
      <c r="B197" s="45"/>
      <c r="C197" s="45"/>
      <c r="D197" s="45"/>
      <c r="E197" s="45"/>
      <c r="F197" s="156"/>
      <c r="G197" s="45"/>
      <c r="H197" s="45"/>
    </row>
    <row r="198" spans="1:8" x14ac:dyDescent="0.25">
      <c r="A198" s="59"/>
      <c r="B198" s="45"/>
      <c r="C198" s="45"/>
      <c r="D198" s="45"/>
      <c r="E198" s="45"/>
      <c r="F198" s="156"/>
      <c r="G198" s="45"/>
      <c r="H198" s="45"/>
    </row>
    <row r="199" spans="1:8" x14ac:dyDescent="0.25">
      <c r="A199" s="59"/>
      <c r="B199" s="45"/>
      <c r="C199" s="45"/>
      <c r="D199" s="45"/>
      <c r="E199" s="45"/>
      <c r="F199" s="156"/>
      <c r="G199" s="45"/>
      <c r="H199" s="45"/>
    </row>
    <row r="200" spans="1:8" x14ac:dyDescent="0.25">
      <c r="A200" s="59"/>
      <c r="B200" s="45"/>
      <c r="C200" s="45"/>
      <c r="D200" s="45"/>
      <c r="E200" s="45"/>
      <c r="F200" s="156"/>
      <c r="G200" s="45"/>
      <c r="H200" s="45"/>
    </row>
    <row r="201" spans="1:8" x14ac:dyDescent="0.25">
      <c r="A201" s="59"/>
      <c r="B201" s="45"/>
      <c r="C201" s="45"/>
      <c r="D201" s="45"/>
      <c r="E201" s="45"/>
      <c r="F201" s="156"/>
      <c r="G201" s="45"/>
      <c r="H201" s="45"/>
    </row>
    <row r="202" spans="1:8" x14ac:dyDescent="0.25">
      <c r="A202" s="59"/>
      <c r="B202" s="45"/>
      <c r="C202" s="45"/>
      <c r="D202" s="45"/>
      <c r="E202" s="45"/>
      <c r="F202" s="156"/>
      <c r="G202" s="45"/>
      <c r="H202" s="45"/>
    </row>
    <row r="203" spans="1:8" x14ac:dyDescent="0.25">
      <c r="A203" s="59"/>
      <c r="B203" s="45"/>
      <c r="C203" s="45"/>
      <c r="D203" s="45"/>
      <c r="E203" s="45"/>
      <c r="F203" s="156"/>
      <c r="G203" s="45"/>
      <c r="H203" s="45"/>
    </row>
    <row r="204" spans="1:8" x14ac:dyDescent="0.25">
      <c r="A204" s="59"/>
      <c r="B204" s="45"/>
      <c r="C204" s="45"/>
      <c r="D204" s="45"/>
      <c r="E204" s="45"/>
      <c r="F204" s="156"/>
      <c r="G204" s="45"/>
      <c r="H204" s="45"/>
    </row>
    <row r="205" spans="1:8" x14ac:dyDescent="0.25">
      <c r="A205" s="59"/>
      <c r="B205" s="45"/>
      <c r="C205" s="45"/>
      <c r="D205" s="45"/>
      <c r="E205" s="45"/>
      <c r="F205" s="156"/>
      <c r="G205" s="45"/>
      <c r="H205" s="45"/>
    </row>
    <row r="206" spans="1:8" x14ac:dyDescent="0.25">
      <c r="A206" s="59"/>
      <c r="B206" s="45"/>
      <c r="C206" s="45"/>
      <c r="D206" s="45"/>
      <c r="E206" s="45"/>
      <c r="F206" s="156"/>
      <c r="G206" s="45"/>
      <c r="H206" s="45"/>
    </row>
    <row r="207" spans="1:8" x14ac:dyDescent="0.25">
      <c r="A207" s="59"/>
      <c r="B207" s="45"/>
      <c r="C207" s="45"/>
      <c r="D207" s="45"/>
      <c r="E207" s="45"/>
      <c r="F207" s="156"/>
      <c r="G207" s="45"/>
      <c r="H207" s="45"/>
    </row>
    <row r="208" spans="1:8" x14ac:dyDescent="0.25">
      <c r="A208" s="59"/>
      <c r="B208" s="45"/>
      <c r="C208" s="45"/>
      <c r="D208" s="45"/>
      <c r="E208" s="45"/>
      <c r="F208" s="156"/>
      <c r="G208" s="45"/>
      <c r="H208" s="45"/>
    </row>
    <row r="209" spans="1:8" x14ac:dyDescent="0.25">
      <c r="A209" s="59"/>
      <c r="B209" s="45"/>
      <c r="C209" s="45"/>
      <c r="D209" s="45"/>
      <c r="E209" s="45"/>
      <c r="F209" s="156"/>
      <c r="G209" s="45"/>
      <c r="H209" s="45"/>
    </row>
    <row r="210" spans="1:8" x14ac:dyDescent="0.25">
      <c r="A210" s="59"/>
      <c r="B210" s="45"/>
      <c r="C210" s="45"/>
      <c r="D210" s="45"/>
      <c r="E210" s="45"/>
      <c r="F210" s="156"/>
      <c r="G210" s="45"/>
      <c r="H210" s="45"/>
    </row>
    <row r="211" spans="1:8" x14ac:dyDescent="0.25">
      <c r="A211" s="59"/>
      <c r="B211" s="45"/>
      <c r="C211" s="45"/>
      <c r="D211" s="45"/>
      <c r="E211" s="45"/>
      <c r="F211" s="156"/>
      <c r="G211" s="45"/>
      <c r="H211" s="45"/>
    </row>
    <row r="212" spans="1:8" x14ac:dyDescent="0.25">
      <c r="A212" s="59"/>
      <c r="B212" s="45"/>
      <c r="C212" s="45"/>
      <c r="D212" s="45"/>
      <c r="E212" s="45"/>
      <c r="F212" s="156"/>
      <c r="G212" s="45"/>
      <c r="H212" s="45"/>
    </row>
    <row r="213" spans="1:8" x14ac:dyDescent="0.25">
      <c r="A213" s="59"/>
      <c r="B213" s="45"/>
      <c r="C213" s="45"/>
      <c r="D213" s="45"/>
      <c r="E213" s="45"/>
      <c r="F213" s="156"/>
      <c r="G213" s="45"/>
      <c r="H213" s="45"/>
    </row>
    <row r="214" spans="1:8" x14ac:dyDescent="0.25">
      <c r="A214" s="59"/>
      <c r="B214" s="45"/>
      <c r="C214" s="45"/>
      <c r="D214" s="45"/>
      <c r="E214" s="45"/>
      <c r="F214" s="156"/>
      <c r="G214" s="45"/>
      <c r="H214" s="45"/>
    </row>
    <row r="215" spans="1:8" x14ac:dyDescent="0.25">
      <c r="A215" s="59"/>
      <c r="B215" s="59"/>
      <c r="C215" s="59"/>
      <c r="D215" s="59"/>
      <c r="E215" s="59"/>
      <c r="F215" s="59"/>
      <c r="G215" s="59"/>
      <c r="H215" s="59"/>
    </row>
    <row r="216" spans="1:8" x14ac:dyDescent="0.25">
      <c r="A216" s="59"/>
      <c r="B216" s="59"/>
      <c r="C216" s="59"/>
      <c r="D216" s="59"/>
      <c r="E216" s="59"/>
      <c r="F216" s="59"/>
      <c r="G216" s="59"/>
      <c r="H216" s="59"/>
    </row>
  </sheetData>
  <mergeCells count="34">
    <mergeCell ref="A130:G132"/>
    <mergeCell ref="A8:B8"/>
    <mergeCell ref="F95:F100"/>
    <mergeCell ref="F102:F111"/>
    <mergeCell ref="A92:G92"/>
    <mergeCell ref="F6:F8"/>
    <mergeCell ref="A17:F17"/>
    <mergeCell ref="F11:F16"/>
    <mergeCell ref="A46:E46"/>
    <mergeCell ref="A18:F18"/>
    <mergeCell ref="B85:H86"/>
    <mergeCell ref="B87:H87"/>
    <mergeCell ref="I1:M1"/>
    <mergeCell ref="I3:J3"/>
    <mergeCell ref="I4:J4"/>
    <mergeCell ref="A1:E1"/>
    <mergeCell ref="A12:B12"/>
    <mergeCell ref="F4:F5"/>
    <mergeCell ref="A10:B10"/>
    <mergeCell ref="A11:B11"/>
    <mergeCell ref="A7:B7"/>
    <mergeCell ref="A9:B9"/>
    <mergeCell ref="A6:B6"/>
    <mergeCell ref="C4:C5"/>
    <mergeCell ref="A4:B5"/>
    <mergeCell ref="A3:F3"/>
    <mergeCell ref="I7:M8"/>
    <mergeCell ref="D4:D5"/>
    <mergeCell ref="E4:E5"/>
    <mergeCell ref="A13:B13"/>
    <mergeCell ref="A16:B16"/>
    <mergeCell ref="A19:B19"/>
    <mergeCell ref="A14:B14"/>
    <mergeCell ref="A15:B15"/>
  </mergeCells>
  <hyperlinks>
    <hyperlink ref="B87" r:id="rId1"/>
  </hyperlinks>
  <pageMargins left="0.7" right="0.7" top="0.75" bottom="0.75" header="0.3" footer="0.3"/>
  <pageSetup orientation="portrait" horizontalDpi="1200" verticalDpi="1200" r:id="rId2"/>
  <ignoredErrors>
    <ignoredError sqref="D10" formulaRange="1"/>
  </ignoredErrors>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9"/>
  <sheetViews>
    <sheetView workbookViewId="0">
      <selection activeCell="J82" sqref="J82"/>
    </sheetView>
  </sheetViews>
  <sheetFormatPr defaultRowHeight="15" x14ac:dyDescent="0.25"/>
  <cols>
    <col min="1" max="1" width="18.5703125" customWidth="1"/>
    <col min="2" max="2" width="26" customWidth="1"/>
    <col min="3" max="3" width="17.42578125" customWidth="1"/>
    <col min="5" max="5" width="8.42578125" customWidth="1"/>
    <col min="6" max="6" width="10.5703125" customWidth="1"/>
  </cols>
  <sheetData>
    <row r="1" spans="1:3" ht="21" x14ac:dyDescent="0.35">
      <c r="A1" s="442" t="s">
        <v>113</v>
      </c>
      <c r="B1" s="442"/>
      <c r="C1" s="442"/>
    </row>
    <row r="3" spans="1:3" x14ac:dyDescent="0.25">
      <c r="A3" s="429" t="s">
        <v>0</v>
      </c>
      <c r="B3" s="429"/>
    </row>
    <row r="4" spans="1:3" x14ac:dyDescent="0.25">
      <c r="A4" s="110" t="s">
        <v>1</v>
      </c>
      <c r="B4" s="136">
        <f>'PID &amp; Cash Flow'!B4</f>
        <v>0</v>
      </c>
    </row>
    <row r="5" spans="1:3" x14ac:dyDescent="0.25">
      <c r="A5" s="110" t="s">
        <v>2</v>
      </c>
      <c r="B5" s="136">
        <f>'PID &amp; Cash Flow'!B5</f>
        <v>0</v>
      </c>
    </row>
    <row r="6" spans="1:3" x14ac:dyDescent="0.25">
      <c r="A6" s="110" t="s">
        <v>3</v>
      </c>
      <c r="B6" s="136">
        <f>'PID &amp; Cash Flow'!B6</f>
        <v>0</v>
      </c>
    </row>
    <row r="7" spans="1:3" x14ac:dyDescent="0.25">
      <c r="A7" s="110" t="s">
        <v>14</v>
      </c>
      <c r="B7" s="137">
        <f>'PID &amp; Cash Flow'!B7</f>
        <v>0</v>
      </c>
    </row>
    <row r="8" spans="1:3" x14ac:dyDescent="0.25">
      <c r="A8" s="110" t="s">
        <v>15</v>
      </c>
      <c r="B8" s="137">
        <f>'PID &amp; Cash Flow'!B8</f>
        <v>0</v>
      </c>
    </row>
    <row r="9" spans="1:3" x14ac:dyDescent="0.25">
      <c r="A9" s="443" t="s">
        <v>5</v>
      </c>
      <c r="B9" s="444">
        <f>'PID &amp; Cash Flow'!B9:B10</f>
        <v>0</v>
      </c>
    </row>
    <row r="10" spans="1:3" x14ac:dyDescent="0.25">
      <c r="A10" s="443"/>
      <c r="B10" s="445"/>
    </row>
    <row r="11" spans="1:3" x14ac:dyDescent="0.25">
      <c r="A11" s="110" t="s">
        <v>6</v>
      </c>
      <c r="B11" s="203">
        <f>'PID &amp; Cash Flow'!B11</f>
        <v>0</v>
      </c>
    </row>
    <row r="12" spans="1:3" x14ac:dyDescent="0.25">
      <c r="A12" s="446" t="s">
        <v>18</v>
      </c>
      <c r="B12" s="447" t="s">
        <v>75</v>
      </c>
    </row>
    <row r="13" spans="1:3" x14ac:dyDescent="0.25">
      <c r="A13" s="446"/>
      <c r="B13" s="447"/>
    </row>
    <row r="14" spans="1:3" x14ac:dyDescent="0.25">
      <c r="A14" s="446"/>
      <c r="B14" s="447"/>
    </row>
    <row r="15" spans="1:3" x14ac:dyDescent="0.25">
      <c r="A15" s="238"/>
      <c r="B15" s="202"/>
    </row>
    <row r="17" spans="1:3" x14ac:dyDescent="0.25">
      <c r="A17" s="429" t="s">
        <v>8</v>
      </c>
      <c r="B17" s="429"/>
    </row>
    <row r="18" spans="1:3" x14ac:dyDescent="0.25">
      <c r="A18" s="426" t="s">
        <v>203</v>
      </c>
      <c r="B18" s="426"/>
      <c r="C18" s="426"/>
    </row>
    <row r="19" spans="1:3" x14ac:dyDescent="0.25">
      <c r="A19" s="427"/>
      <c r="B19" s="427"/>
      <c r="C19" s="427"/>
    </row>
    <row r="20" spans="1:3" ht="15" customHeight="1" x14ac:dyDescent="0.25">
      <c r="A20" s="433">
        <f>'PID &amp; Cash Flow'!A21</f>
        <v>0</v>
      </c>
      <c r="B20" s="434"/>
      <c r="C20" s="435"/>
    </row>
    <row r="21" spans="1:3" x14ac:dyDescent="0.25">
      <c r="A21" s="436"/>
      <c r="B21" s="437"/>
      <c r="C21" s="438"/>
    </row>
    <row r="22" spans="1:3" x14ac:dyDescent="0.25">
      <c r="A22" s="436"/>
      <c r="B22" s="437"/>
      <c r="C22" s="438"/>
    </row>
    <row r="23" spans="1:3" x14ac:dyDescent="0.25">
      <c r="A23" s="436"/>
      <c r="B23" s="437"/>
      <c r="C23" s="438"/>
    </row>
    <row r="24" spans="1:3" x14ac:dyDescent="0.25">
      <c r="A24" s="436"/>
      <c r="B24" s="437"/>
      <c r="C24" s="438"/>
    </row>
    <row r="25" spans="1:3" x14ac:dyDescent="0.25">
      <c r="A25" s="436"/>
      <c r="B25" s="437"/>
      <c r="C25" s="438"/>
    </row>
    <row r="26" spans="1:3" x14ac:dyDescent="0.25">
      <c r="A26" s="436"/>
      <c r="B26" s="437"/>
      <c r="C26" s="438"/>
    </row>
    <row r="27" spans="1:3" x14ac:dyDescent="0.25">
      <c r="A27" s="436"/>
      <c r="B27" s="437"/>
      <c r="C27" s="438"/>
    </row>
    <row r="28" spans="1:3" x14ac:dyDescent="0.25">
      <c r="A28" s="436"/>
      <c r="B28" s="437"/>
      <c r="C28" s="438"/>
    </row>
    <row r="29" spans="1:3" x14ac:dyDescent="0.25">
      <c r="A29" s="439"/>
      <c r="B29" s="440"/>
      <c r="C29" s="441"/>
    </row>
    <row r="30" spans="1:3" x14ac:dyDescent="0.25">
      <c r="A30" s="179"/>
      <c r="B30" s="179"/>
      <c r="C30" s="179"/>
    </row>
    <row r="32" spans="1:3" x14ac:dyDescent="0.25">
      <c r="A32" s="429" t="s">
        <v>9</v>
      </c>
      <c r="B32" s="429"/>
    </row>
    <row r="33" spans="1:6" x14ac:dyDescent="0.25">
      <c r="A33" s="5" t="s">
        <v>10</v>
      </c>
      <c r="B33" s="430">
        <f>'PID &amp; Cash Flow'!B33:C33</f>
        <v>0</v>
      </c>
      <c r="C33" s="431"/>
    </row>
    <row r="34" spans="1:6" x14ac:dyDescent="0.25">
      <c r="A34" s="5" t="s">
        <v>11</v>
      </c>
      <c r="B34" s="430">
        <f>'PID &amp; Cash Flow'!B34:C34</f>
        <v>0</v>
      </c>
      <c r="C34" s="431"/>
    </row>
    <row r="35" spans="1:6" x14ac:dyDescent="0.25">
      <c r="A35" s="5" t="s">
        <v>109</v>
      </c>
      <c r="B35" s="136">
        <f>'PID &amp; Cash Flow'!B35</f>
        <v>0</v>
      </c>
      <c r="C35" s="99"/>
    </row>
    <row r="36" spans="1:6" ht="30" x14ac:dyDescent="0.25">
      <c r="A36" s="139" t="s">
        <v>12</v>
      </c>
      <c r="B36" s="137">
        <f>'PID &amp; Cash Flow'!B36</f>
        <v>0</v>
      </c>
      <c r="C36" s="99"/>
    </row>
    <row r="37" spans="1:6" x14ac:dyDescent="0.25">
      <c r="B37" s="140"/>
      <c r="C37" s="99"/>
    </row>
    <row r="38" spans="1:6" x14ac:dyDescent="0.25">
      <c r="A38" s="114" t="s">
        <v>13</v>
      </c>
      <c r="B38" s="140"/>
      <c r="C38" s="138"/>
    </row>
    <row r="39" spans="1:6" x14ac:dyDescent="0.25">
      <c r="A39" s="5" t="s">
        <v>16</v>
      </c>
      <c r="B39" s="136">
        <f>'PID &amp; Cash Flow'!B39</f>
        <v>0</v>
      </c>
      <c r="C39" s="432"/>
    </row>
    <row r="40" spans="1:6" x14ac:dyDescent="0.25">
      <c r="A40" s="5" t="s">
        <v>20</v>
      </c>
      <c r="B40" s="137">
        <f>'PID &amp; Cash Flow'!B40</f>
        <v>0</v>
      </c>
      <c r="C40" s="432"/>
    </row>
    <row r="41" spans="1:6" x14ac:dyDescent="0.25">
      <c r="A41" s="5" t="s">
        <v>19</v>
      </c>
      <c r="B41" s="137">
        <f>'PID &amp; Cash Flow'!B41</f>
        <v>0</v>
      </c>
      <c r="C41" s="99"/>
    </row>
    <row r="42" spans="1:6" x14ac:dyDescent="0.25">
      <c r="A42" s="5" t="s">
        <v>21</v>
      </c>
      <c r="B42" s="141">
        <f>'PID &amp; Cash Flow'!B42</f>
        <v>0</v>
      </c>
    </row>
    <row r="45" spans="1:6" x14ac:dyDescent="0.25">
      <c r="F45">
        <v>1</v>
      </c>
    </row>
    <row r="67" spans="1:3" x14ac:dyDescent="0.25">
      <c r="A67" s="428" t="s">
        <v>215</v>
      </c>
      <c r="B67" s="428"/>
      <c r="C67" s="142">
        <f>'SIR Ratio'!F37</f>
        <v>0</v>
      </c>
    </row>
    <row r="90" spans="1:8" x14ac:dyDescent="0.25">
      <c r="A90" s="428" t="s">
        <v>216</v>
      </c>
      <c r="B90" s="428"/>
      <c r="C90" s="142">
        <f>'SIR Ratio'!F82</f>
        <v>0</v>
      </c>
      <c r="H90" s="172"/>
    </row>
    <row r="92" spans="1:8" x14ac:dyDescent="0.25">
      <c r="F92">
        <v>2</v>
      </c>
    </row>
    <row r="94" spans="1:8" x14ac:dyDescent="0.25">
      <c r="A94" s="422" t="s">
        <v>116</v>
      </c>
      <c r="B94" s="422"/>
    </row>
    <row r="95" spans="1:8" x14ac:dyDescent="0.25">
      <c r="A95" s="428" t="s">
        <v>73</v>
      </c>
      <c r="B95" s="428"/>
      <c r="C95" s="143" t="e">
        <f>'SIR Ratio'!E116</f>
        <v>#DIV/0!</v>
      </c>
    </row>
    <row r="98" spans="1:3" x14ac:dyDescent="0.25">
      <c r="A98" s="422" t="s">
        <v>133</v>
      </c>
      <c r="B98" s="422"/>
    </row>
    <row r="99" spans="1:3" x14ac:dyDescent="0.25">
      <c r="A99" s="311" t="s">
        <v>127</v>
      </c>
      <c r="B99" s="311"/>
      <c r="C99" s="118">
        <f>'Discount Payback Period'!K3</f>
        <v>31</v>
      </c>
    </row>
    <row r="100" spans="1:3" x14ac:dyDescent="0.25">
      <c r="A100" s="311" t="s">
        <v>117</v>
      </c>
      <c r="B100" s="311"/>
      <c r="C100" s="118">
        <f>'Discount Payback Period'!K4</f>
        <v>31</v>
      </c>
    </row>
    <row r="139" spans="6:6" x14ac:dyDescent="0.25">
      <c r="F139">
        <v>3</v>
      </c>
    </row>
  </sheetData>
  <mergeCells count="20">
    <mergeCell ref="A17:B17"/>
    <mergeCell ref="A1:C1"/>
    <mergeCell ref="A3:B3"/>
    <mergeCell ref="A9:A10"/>
    <mergeCell ref="B9:B10"/>
    <mergeCell ref="A12:A14"/>
    <mergeCell ref="B12:B14"/>
    <mergeCell ref="A18:C19"/>
    <mergeCell ref="A99:B99"/>
    <mergeCell ref="A100:B100"/>
    <mergeCell ref="A94:B94"/>
    <mergeCell ref="A67:B67"/>
    <mergeCell ref="A90:B90"/>
    <mergeCell ref="A95:B95"/>
    <mergeCell ref="A98:B98"/>
    <mergeCell ref="A32:B32"/>
    <mergeCell ref="B33:C33"/>
    <mergeCell ref="B34:C34"/>
    <mergeCell ref="C39:C40"/>
    <mergeCell ref="A20:C29"/>
  </mergeCells>
  <pageMargins left="0.7" right="0.7" top="0.75" bottom="0.75" header="0.3" footer="0.3"/>
  <pageSetup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General</vt:lpstr>
      <vt:lpstr>PID &amp; Cash Flow</vt:lpstr>
      <vt:lpstr>SIR Ratio</vt:lpstr>
      <vt:lpstr>Discount Payback Period</vt:lpstr>
      <vt:lpstr>Summary</vt:lpstr>
    </vt:vector>
  </TitlesOfParts>
  <Company>LANL DCS-CSD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Juntunen, Matney Stropky</dc:creator>
  <cp:lastModifiedBy>Juntunen, Matney Stropky</cp:lastModifiedBy>
  <cp:lastPrinted>2019-07-23T16:18:01Z</cp:lastPrinted>
  <dcterms:created xsi:type="dcterms:W3CDTF">2019-05-21T20:03:50Z</dcterms:created>
  <dcterms:modified xsi:type="dcterms:W3CDTF">2019-08-06T21:25:26Z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